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hidePivotFieldList="1" defaultThemeVersion="124226"/>
  <mc:AlternateContent xmlns:mc="http://schemas.openxmlformats.org/markup-compatibility/2006">
    <mc:Choice Requires="x15">
      <x15ac:absPath xmlns:x15ac="http://schemas.microsoft.com/office/spreadsheetml/2010/11/ac" url="https://d.docs.live.net/c00fc60f02f207ca/Escritorio/Teletrabajo ERU/Riesgos/Mapas de riesgos 2021/Consolidado/"/>
    </mc:Choice>
  </mc:AlternateContent>
  <xr:revisionPtr revIDLastSave="0" documentId="8_{49A1BFF7-42BF-4ABF-8DEB-3D37F5438F28}" xr6:coauthVersionLast="47" xr6:coauthVersionMax="47" xr10:uidLastSave="{00000000-0000-0000-0000-000000000000}"/>
  <bookViews>
    <workbookView xWindow="-120" yWindow="-120" windowWidth="20730" windowHeight="11160" tabRatio="882" activeTab="1" xr2:uid="{00000000-000D-0000-FFFF-FFFF00000000}"/>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externalReferences>
    <externalReference r:id="rId10"/>
    <externalReference r:id="rId11"/>
  </externalReferences>
  <calcPr calcId="191029"/>
  <pivotCaches>
    <pivotCache cacheId="10"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4" i="1" l="1"/>
  <c r="T24" i="1"/>
  <c r="AE24" i="1" s="1"/>
  <c r="AD24" i="1" s="1"/>
  <c r="W23" i="1"/>
  <c r="T23" i="1"/>
  <c r="AE23" i="1" s="1"/>
  <c r="AD23" i="1" s="1"/>
  <c r="W21" i="1"/>
  <c r="T21" i="1"/>
  <c r="AE21" i="1" s="1"/>
  <c r="AD21" i="1" s="1"/>
  <c r="W20" i="1"/>
  <c r="T20" i="1"/>
  <c r="AE20" i="1" s="1"/>
  <c r="AD20" i="1" s="1"/>
  <c r="X169" i="19"/>
  <c r="W169" i="19"/>
  <c r="X119" i="19"/>
  <c r="W119" i="19"/>
  <c r="X69" i="19"/>
  <c r="W69" i="19"/>
  <c r="X19" i="19"/>
  <c r="W19" i="19"/>
  <c r="U19" i="19"/>
  <c r="T19" i="19"/>
  <c r="U69" i="19"/>
  <c r="T69" i="19"/>
  <c r="U119" i="19"/>
  <c r="T119" i="19"/>
  <c r="U169" i="19"/>
  <c r="T169" i="19"/>
  <c r="R19" i="19"/>
  <c r="Q19" i="19"/>
  <c r="R69" i="19"/>
  <c r="Q69" i="19"/>
  <c r="R119" i="19"/>
  <c r="Q119" i="19"/>
  <c r="R169" i="19"/>
  <c r="Q169" i="19"/>
  <c r="O19" i="19"/>
  <c r="N19" i="19"/>
  <c r="O69" i="19"/>
  <c r="N69" i="19"/>
  <c r="O119" i="19"/>
  <c r="N119" i="19"/>
  <c r="O169" i="19"/>
  <c r="N169" i="19"/>
  <c r="X219" i="19"/>
  <c r="W219" i="19"/>
  <c r="U219" i="19"/>
  <c r="T219" i="19"/>
  <c r="R219" i="19"/>
  <c r="Q219" i="19"/>
  <c r="L169" i="19"/>
  <c r="K169" i="19"/>
  <c r="L119" i="19"/>
  <c r="K119" i="19"/>
  <c r="L69" i="19"/>
  <c r="K69" i="19"/>
  <c r="L19" i="19"/>
  <c r="K19" i="19"/>
  <c r="O219" i="19"/>
  <c r="N219" i="19"/>
  <c r="W153" i="1"/>
  <c r="T153" i="1"/>
  <c r="AE153" i="1" s="1"/>
  <c r="AD153" i="1" s="1"/>
  <c r="W152" i="1"/>
  <c r="T152" i="1"/>
  <c r="AE152" i="1" s="1"/>
  <c r="AD152" i="1" s="1"/>
  <c r="W151" i="1"/>
  <c r="T151" i="1"/>
  <c r="K151" i="1"/>
  <c r="W150" i="1"/>
  <c r="T150" i="1"/>
  <c r="AE150" i="1" s="1"/>
  <c r="AD150" i="1" s="1"/>
  <c r="W149" i="1"/>
  <c r="T149" i="1"/>
  <c r="AE149" i="1" s="1"/>
  <c r="AD149" i="1" s="1"/>
  <c r="W148" i="1"/>
  <c r="T148" i="1"/>
  <c r="K148" i="1"/>
  <c r="W147" i="1"/>
  <c r="T147" i="1"/>
  <c r="AE147" i="1" s="1"/>
  <c r="AD147" i="1" s="1"/>
  <c r="W146" i="1"/>
  <c r="T146" i="1"/>
  <c r="AE146" i="1" s="1"/>
  <c r="AD146" i="1" s="1"/>
  <c r="W145" i="1"/>
  <c r="T145" i="1"/>
  <c r="K145" i="1"/>
  <c r="W144" i="1"/>
  <c r="T144" i="1"/>
  <c r="AE144" i="1" s="1"/>
  <c r="AD144" i="1" s="1"/>
  <c r="W143" i="1"/>
  <c r="T143" i="1"/>
  <c r="AE143" i="1" s="1"/>
  <c r="AD143" i="1" s="1"/>
  <c r="W142" i="1"/>
  <c r="T142" i="1"/>
  <c r="K142" i="1"/>
  <c r="W141" i="1"/>
  <c r="T141" i="1"/>
  <c r="AE141" i="1" s="1"/>
  <c r="AD141" i="1" s="1"/>
  <c r="W140" i="1"/>
  <c r="T140" i="1"/>
  <c r="AE140" i="1" s="1"/>
  <c r="AD140" i="1" s="1"/>
  <c r="W139" i="1"/>
  <c r="T139" i="1"/>
  <c r="K139" i="1"/>
  <c r="W138" i="1"/>
  <c r="T138" i="1"/>
  <c r="AE138" i="1" s="1"/>
  <c r="AD138" i="1" s="1"/>
  <c r="W137" i="1"/>
  <c r="T137" i="1"/>
  <c r="AE137" i="1" s="1"/>
  <c r="AD137" i="1" s="1"/>
  <c r="W136" i="1"/>
  <c r="T136" i="1"/>
  <c r="K136" i="1"/>
  <c r="W135" i="1"/>
  <c r="T135" i="1"/>
  <c r="AE135" i="1" s="1"/>
  <c r="AD135" i="1" s="1"/>
  <c r="W134" i="1"/>
  <c r="T134" i="1"/>
  <c r="AE134" i="1" s="1"/>
  <c r="AD134" i="1" s="1"/>
  <c r="W133" i="1"/>
  <c r="T133" i="1"/>
  <c r="K133" i="1"/>
  <c r="W132" i="1"/>
  <c r="T132" i="1"/>
  <c r="AE132" i="1" s="1"/>
  <c r="AD132" i="1" s="1"/>
  <c r="W131" i="1"/>
  <c r="T131" i="1"/>
  <c r="AE131" i="1" s="1"/>
  <c r="AD131" i="1" s="1"/>
  <c r="W130" i="1"/>
  <c r="T130" i="1"/>
  <c r="K130" i="1"/>
  <c r="W129" i="1"/>
  <c r="T129" i="1"/>
  <c r="AE129" i="1" s="1"/>
  <c r="AD129" i="1" s="1"/>
  <c r="W128" i="1"/>
  <c r="T128" i="1"/>
  <c r="AE128" i="1" s="1"/>
  <c r="AD128" i="1" s="1"/>
  <c r="W127" i="1"/>
  <c r="T127" i="1"/>
  <c r="K127" i="1"/>
  <c r="W126" i="1"/>
  <c r="T126" i="1"/>
  <c r="AE126" i="1" s="1"/>
  <c r="AD126" i="1" s="1"/>
  <c r="W125" i="1"/>
  <c r="T125" i="1"/>
  <c r="AE125" i="1" s="1"/>
  <c r="AD125" i="1" s="1"/>
  <c r="W124" i="1"/>
  <c r="T124" i="1"/>
  <c r="K124" i="1"/>
  <c r="AA20" i="1" l="1"/>
  <c r="AB20" i="1" s="1"/>
  <c r="AE151" i="1"/>
  <c r="AD151" i="1" s="1"/>
  <c r="AE145" i="1"/>
  <c r="AD145" i="1" s="1"/>
  <c r="L148" i="1"/>
  <c r="AA148" i="1" s="1"/>
  <c r="AA24" i="1"/>
  <c r="AA23" i="1"/>
  <c r="AA21" i="1"/>
  <c r="AC20" i="1"/>
  <c r="AA152" i="1"/>
  <c r="AA153" i="1"/>
  <c r="L151" i="1"/>
  <c r="AA151" i="1" s="1"/>
  <c r="AA149" i="1"/>
  <c r="AA150" i="1"/>
  <c r="AA146" i="1"/>
  <c r="AA147" i="1"/>
  <c r="L145" i="1"/>
  <c r="AA145" i="1" s="1"/>
  <c r="AE142" i="1"/>
  <c r="AD142" i="1" s="1"/>
  <c r="AA143" i="1"/>
  <c r="AA144" i="1"/>
  <c r="L142" i="1"/>
  <c r="AA142" i="1" s="1"/>
  <c r="AE139" i="1"/>
  <c r="AD139" i="1" s="1"/>
  <c r="AA140" i="1"/>
  <c r="AA141" i="1"/>
  <c r="L139" i="1"/>
  <c r="AA139" i="1" s="1"/>
  <c r="AE136" i="1"/>
  <c r="AD136" i="1" s="1"/>
  <c r="AA137" i="1"/>
  <c r="AA138" i="1"/>
  <c r="L136" i="1"/>
  <c r="AA136" i="1" s="1"/>
  <c r="AA134" i="1"/>
  <c r="AA135" i="1"/>
  <c r="L133" i="1"/>
  <c r="AA133" i="1" s="1"/>
  <c r="AA131" i="1"/>
  <c r="AA132" i="1"/>
  <c r="L130" i="1"/>
  <c r="AA130" i="1" s="1"/>
  <c r="AA128" i="1"/>
  <c r="AA129" i="1"/>
  <c r="L127" i="1"/>
  <c r="AA127" i="1" s="1"/>
  <c r="AA125" i="1"/>
  <c r="AA126" i="1"/>
  <c r="L124" i="1"/>
  <c r="AA124" i="1" s="1"/>
  <c r="W120" i="1"/>
  <c r="T120" i="1"/>
  <c r="AE120" i="1" s="1"/>
  <c r="AD120" i="1" s="1"/>
  <c r="W119" i="1"/>
  <c r="T119" i="1"/>
  <c r="AE119" i="1" s="1"/>
  <c r="AD119" i="1" s="1"/>
  <c r="W118" i="1"/>
  <c r="T118" i="1"/>
  <c r="K118" i="1"/>
  <c r="W117" i="1"/>
  <c r="T117" i="1"/>
  <c r="AE117" i="1" s="1"/>
  <c r="AD117" i="1" s="1"/>
  <c r="W116" i="1"/>
  <c r="T116" i="1"/>
  <c r="AE116" i="1" s="1"/>
  <c r="AD116" i="1" s="1"/>
  <c r="W115" i="1"/>
  <c r="T115" i="1"/>
  <c r="K115" i="1"/>
  <c r="W114" i="1"/>
  <c r="T114" i="1"/>
  <c r="AE114" i="1" s="1"/>
  <c r="AD114" i="1" s="1"/>
  <c r="W113" i="1"/>
  <c r="T113" i="1"/>
  <c r="AE113" i="1" s="1"/>
  <c r="AD113" i="1" s="1"/>
  <c r="W112" i="1"/>
  <c r="T112" i="1"/>
  <c r="K112" i="1"/>
  <c r="W111" i="1"/>
  <c r="T111" i="1"/>
  <c r="AE111" i="1" s="1"/>
  <c r="AD111" i="1" s="1"/>
  <c r="W110" i="1"/>
  <c r="T110" i="1"/>
  <c r="AE110" i="1" s="1"/>
  <c r="AD110" i="1" s="1"/>
  <c r="W109" i="1"/>
  <c r="T109" i="1"/>
  <c r="K109" i="1"/>
  <c r="W108" i="1"/>
  <c r="T108" i="1"/>
  <c r="AE108" i="1" s="1"/>
  <c r="AD108" i="1" s="1"/>
  <c r="W107" i="1"/>
  <c r="T107" i="1"/>
  <c r="AE107" i="1" s="1"/>
  <c r="AD107" i="1" s="1"/>
  <c r="W106" i="1"/>
  <c r="T106" i="1"/>
  <c r="K106" i="1"/>
  <c r="K121" i="1"/>
  <c r="K103" i="1"/>
  <c r="K100" i="1"/>
  <c r="K97" i="1"/>
  <c r="K94" i="1"/>
  <c r="K91" i="1"/>
  <c r="K88" i="1"/>
  <c r="K85" i="1"/>
  <c r="K82" i="1"/>
  <c r="K79" i="1"/>
  <c r="K76" i="1"/>
  <c r="K73" i="1"/>
  <c r="K70" i="1"/>
  <c r="K67" i="1"/>
  <c r="K64" i="1"/>
  <c r="K61" i="1"/>
  <c r="K58" i="1"/>
  <c r="K55" i="1"/>
  <c r="K52" i="1"/>
  <c r="K49" i="1"/>
  <c r="K46" i="1"/>
  <c r="K43" i="1"/>
  <c r="K40" i="1"/>
  <c r="K37" i="1"/>
  <c r="K34" i="1"/>
  <c r="K31" i="1"/>
  <c r="K28" i="1"/>
  <c r="K25" i="1"/>
  <c r="K22" i="1"/>
  <c r="K19" i="1"/>
  <c r="K16" i="1"/>
  <c r="K13" i="1"/>
  <c r="K10" i="1"/>
  <c r="W123" i="1"/>
  <c r="T123" i="1"/>
  <c r="AE123" i="1" s="1"/>
  <c r="AD123" i="1" s="1"/>
  <c r="W122" i="1"/>
  <c r="T122" i="1"/>
  <c r="AE122" i="1" s="1"/>
  <c r="AD122" i="1" s="1"/>
  <c r="W121" i="1"/>
  <c r="T121" i="1"/>
  <c r="W105" i="1"/>
  <c r="T105" i="1"/>
  <c r="AE105" i="1" s="1"/>
  <c r="AD105" i="1" s="1"/>
  <c r="W104" i="1"/>
  <c r="T104" i="1"/>
  <c r="AE104" i="1" s="1"/>
  <c r="AD104" i="1" s="1"/>
  <c r="W102" i="1"/>
  <c r="T102" i="1"/>
  <c r="AE102" i="1" s="1"/>
  <c r="AD102" i="1" s="1"/>
  <c r="W101" i="1"/>
  <c r="T101" i="1"/>
  <c r="AE101" i="1" s="1"/>
  <c r="AD101" i="1" s="1"/>
  <c r="W99" i="1"/>
  <c r="T99" i="1"/>
  <c r="AE99" i="1" s="1"/>
  <c r="AD99" i="1" s="1"/>
  <c r="W98" i="1"/>
  <c r="T98" i="1"/>
  <c r="AE98" i="1" s="1"/>
  <c r="AD98" i="1" s="1"/>
  <c r="W100" i="1"/>
  <c r="T100" i="1"/>
  <c r="W97" i="1"/>
  <c r="T97" i="1"/>
  <c r="W96" i="1"/>
  <c r="T96" i="1"/>
  <c r="AE96" i="1" s="1"/>
  <c r="AD96" i="1" s="1"/>
  <c r="W95" i="1"/>
  <c r="T95" i="1"/>
  <c r="AE95" i="1" s="1"/>
  <c r="AD95" i="1" s="1"/>
  <c r="W93" i="1"/>
  <c r="T93" i="1"/>
  <c r="AE93" i="1" s="1"/>
  <c r="AD93" i="1" s="1"/>
  <c r="W92" i="1"/>
  <c r="T92" i="1"/>
  <c r="AE92" i="1" s="1"/>
  <c r="AD92" i="1" s="1"/>
  <c r="W90" i="1"/>
  <c r="T90" i="1"/>
  <c r="AE90" i="1" s="1"/>
  <c r="AD90" i="1" s="1"/>
  <c r="W91" i="1"/>
  <c r="T91" i="1"/>
  <c r="W89" i="1"/>
  <c r="T89" i="1"/>
  <c r="W87" i="1"/>
  <c r="T87" i="1"/>
  <c r="AE87" i="1" s="1"/>
  <c r="AD87" i="1" s="1"/>
  <c r="W86" i="1"/>
  <c r="T86" i="1"/>
  <c r="AE86" i="1" s="1"/>
  <c r="AD86" i="1" s="1"/>
  <c r="W84" i="1"/>
  <c r="T84" i="1"/>
  <c r="AE84" i="1" s="1"/>
  <c r="AD84" i="1" s="1"/>
  <c r="W83" i="1"/>
  <c r="T83" i="1"/>
  <c r="AE83" i="1" s="1"/>
  <c r="AD83" i="1" s="1"/>
  <c r="W81" i="1"/>
  <c r="T81" i="1"/>
  <c r="AE81" i="1" s="1"/>
  <c r="AD81" i="1" s="1"/>
  <c r="W80" i="1"/>
  <c r="T80" i="1"/>
  <c r="AE80" i="1" s="1"/>
  <c r="AD80" i="1" s="1"/>
  <c r="W78" i="1"/>
  <c r="T78" i="1"/>
  <c r="AE78" i="1" s="1"/>
  <c r="AD78" i="1" s="1"/>
  <c r="W76" i="1"/>
  <c r="T76" i="1"/>
  <c r="W77" i="1"/>
  <c r="T77" i="1"/>
  <c r="AE77" i="1" s="1"/>
  <c r="AD77" i="1" s="1"/>
  <c r="W75" i="1"/>
  <c r="T75" i="1"/>
  <c r="AE75" i="1" s="1"/>
  <c r="AD75" i="1" s="1"/>
  <c r="W74" i="1"/>
  <c r="T74" i="1"/>
  <c r="AE74" i="1" s="1"/>
  <c r="AD74" i="1" s="1"/>
  <c r="W73" i="1"/>
  <c r="T73" i="1"/>
  <c r="W72" i="1"/>
  <c r="T72" i="1"/>
  <c r="AE72" i="1" s="1"/>
  <c r="AD72" i="1" s="1"/>
  <c r="W71" i="1"/>
  <c r="T71" i="1"/>
  <c r="AE71" i="1" s="1"/>
  <c r="AD71" i="1" s="1"/>
  <c r="W69" i="1"/>
  <c r="T69" i="1"/>
  <c r="AE69" i="1" s="1"/>
  <c r="AD69" i="1" s="1"/>
  <c r="W68" i="1"/>
  <c r="T68" i="1"/>
  <c r="AE68" i="1" s="1"/>
  <c r="AD68" i="1" s="1"/>
  <c r="W66" i="1"/>
  <c r="T66" i="1"/>
  <c r="AE66" i="1" s="1"/>
  <c r="AD66" i="1" s="1"/>
  <c r="W65" i="1"/>
  <c r="T65" i="1"/>
  <c r="AE65" i="1" s="1"/>
  <c r="AD65" i="1" s="1"/>
  <c r="W63" i="1"/>
  <c r="T63" i="1"/>
  <c r="AE63" i="1" s="1"/>
  <c r="AD63" i="1" s="1"/>
  <c r="W62" i="1"/>
  <c r="T62" i="1"/>
  <c r="AE62" i="1" s="1"/>
  <c r="AD62" i="1" s="1"/>
  <c r="W60" i="1"/>
  <c r="T60" i="1"/>
  <c r="AE60" i="1" s="1"/>
  <c r="AD60" i="1" s="1"/>
  <c r="W59" i="1"/>
  <c r="T59" i="1"/>
  <c r="AE59" i="1" s="1"/>
  <c r="AD59" i="1" s="1"/>
  <c r="W57" i="1"/>
  <c r="T57" i="1"/>
  <c r="AE57" i="1" s="1"/>
  <c r="AD57" i="1" s="1"/>
  <c r="W56" i="1"/>
  <c r="T56" i="1"/>
  <c r="AE56" i="1" s="1"/>
  <c r="AD56" i="1" s="1"/>
  <c r="W54" i="1"/>
  <c r="T54" i="1"/>
  <c r="AE54" i="1" s="1"/>
  <c r="AD54" i="1" s="1"/>
  <c r="W55" i="1"/>
  <c r="T55" i="1"/>
  <c r="W53" i="1"/>
  <c r="T53" i="1"/>
  <c r="AE53" i="1" s="1"/>
  <c r="AD53" i="1" s="1"/>
  <c r="W51" i="1"/>
  <c r="T51" i="1"/>
  <c r="AE51" i="1" s="1"/>
  <c r="AD51" i="1" s="1"/>
  <c r="W50" i="1"/>
  <c r="T50" i="1"/>
  <c r="AE50" i="1" s="1"/>
  <c r="AD50" i="1" s="1"/>
  <c r="W48" i="1"/>
  <c r="T48" i="1"/>
  <c r="AE48" i="1" s="1"/>
  <c r="AD48" i="1" s="1"/>
  <c r="W47" i="1"/>
  <c r="T47" i="1"/>
  <c r="W49" i="1"/>
  <c r="T49" i="1"/>
  <c r="W46" i="1"/>
  <c r="T46" i="1"/>
  <c r="W45" i="1"/>
  <c r="T45" i="1"/>
  <c r="AE45" i="1" s="1"/>
  <c r="AD45" i="1" s="1"/>
  <c r="W44" i="1"/>
  <c r="T44" i="1"/>
  <c r="AE44" i="1" s="1"/>
  <c r="AD44" i="1" s="1"/>
  <c r="W43" i="1"/>
  <c r="T43" i="1"/>
  <c r="W42" i="1"/>
  <c r="T42" i="1"/>
  <c r="AE42" i="1" s="1"/>
  <c r="AD42" i="1" s="1"/>
  <c r="W41" i="1"/>
  <c r="T41" i="1"/>
  <c r="AE41" i="1" s="1"/>
  <c r="AD41" i="1" s="1"/>
  <c r="W40" i="1"/>
  <c r="T40" i="1"/>
  <c r="W39" i="1"/>
  <c r="T39" i="1"/>
  <c r="AE39" i="1" s="1"/>
  <c r="AD39" i="1" s="1"/>
  <c r="W38" i="1"/>
  <c r="T38" i="1"/>
  <c r="AE38" i="1" s="1"/>
  <c r="AD38" i="1" s="1"/>
  <c r="W37" i="1"/>
  <c r="T37" i="1"/>
  <c r="W36" i="1"/>
  <c r="T36" i="1"/>
  <c r="AE36" i="1" s="1"/>
  <c r="AD36" i="1" s="1"/>
  <c r="W35" i="1"/>
  <c r="T35" i="1"/>
  <c r="AE35" i="1" s="1"/>
  <c r="AD35" i="1" s="1"/>
  <c r="W34" i="1"/>
  <c r="T34" i="1"/>
  <c r="W33" i="1"/>
  <c r="T33" i="1"/>
  <c r="AE33" i="1" s="1"/>
  <c r="AD33" i="1" s="1"/>
  <c r="W32" i="1"/>
  <c r="T32" i="1"/>
  <c r="AE32" i="1" s="1"/>
  <c r="AD32" i="1" s="1"/>
  <c r="W31" i="1"/>
  <c r="T31" i="1"/>
  <c r="W30" i="1"/>
  <c r="T30" i="1"/>
  <c r="AE30" i="1" s="1"/>
  <c r="AD30" i="1" s="1"/>
  <c r="W29" i="1"/>
  <c r="T29" i="1"/>
  <c r="AE29" i="1" s="1"/>
  <c r="AD29" i="1" s="1"/>
  <c r="W28" i="1"/>
  <c r="T28" i="1"/>
  <c r="W27" i="1"/>
  <c r="T27" i="1"/>
  <c r="AE27" i="1" s="1"/>
  <c r="AD27" i="1" s="1"/>
  <c r="W26" i="1"/>
  <c r="T26" i="1"/>
  <c r="AE26" i="1" s="1"/>
  <c r="AD26" i="1" s="1"/>
  <c r="AE89" i="1" l="1"/>
  <c r="AD89" i="1" s="1"/>
  <c r="AA89" i="1"/>
  <c r="AE47" i="1"/>
  <c r="AD47" i="1" s="1"/>
  <c r="AA47" i="1"/>
  <c r="AB24" i="1"/>
  <c r="AC24" i="1"/>
  <c r="AB23" i="1"/>
  <c r="AC23" i="1"/>
  <c r="AB21" i="1"/>
  <c r="AC21" i="1"/>
  <c r="AF20" i="1"/>
  <c r="T60" i="19"/>
  <c r="W110" i="19"/>
  <c r="W10" i="19"/>
  <c r="T110" i="19"/>
  <c r="Q10" i="19"/>
  <c r="Q110" i="19"/>
  <c r="W160" i="19"/>
  <c r="W60" i="19"/>
  <c r="T10" i="19"/>
  <c r="K160" i="19"/>
  <c r="K60" i="19"/>
  <c r="N10" i="19"/>
  <c r="N110" i="19"/>
  <c r="W210" i="19"/>
  <c r="Q210" i="19"/>
  <c r="K110" i="19"/>
  <c r="K10" i="19"/>
  <c r="K210" i="19"/>
  <c r="T160" i="19"/>
  <c r="Q60" i="19"/>
  <c r="Q160" i="19"/>
  <c r="N60" i="19"/>
  <c r="N160" i="19"/>
  <c r="T210" i="19"/>
  <c r="N210" i="19"/>
  <c r="AB151" i="1"/>
  <c r="AC151" i="1"/>
  <c r="AB153" i="1"/>
  <c r="AC153" i="1"/>
  <c r="AB152" i="1"/>
  <c r="AC152" i="1"/>
  <c r="AB148" i="1"/>
  <c r="AC148" i="1"/>
  <c r="AB150" i="1"/>
  <c r="AC150" i="1"/>
  <c r="AB149" i="1"/>
  <c r="AC149" i="1"/>
  <c r="AB146" i="1"/>
  <c r="AC146" i="1"/>
  <c r="AB145" i="1"/>
  <c r="AC145" i="1"/>
  <c r="AB147" i="1"/>
  <c r="AC147" i="1"/>
  <c r="AB142" i="1"/>
  <c r="AC142" i="1"/>
  <c r="AB143" i="1"/>
  <c r="AC143" i="1"/>
  <c r="AB144" i="1"/>
  <c r="AC144" i="1"/>
  <c r="AB139" i="1"/>
  <c r="AC139" i="1"/>
  <c r="AB140" i="1"/>
  <c r="AC140" i="1"/>
  <c r="AB141" i="1"/>
  <c r="AC141" i="1"/>
  <c r="AB136" i="1"/>
  <c r="J150" i="19" s="1"/>
  <c r="AC136" i="1"/>
  <c r="AB138" i="1"/>
  <c r="AC138" i="1"/>
  <c r="AB137" i="1"/>
  <c r="AC137" i="1"/>
  <c r="AB133" i="1"/>
  <c r="AC133" i="1"/>
  <c r="AB135" i="1"/>
  <c r="AC135" i="1"/>
  <c r="AB134" i="1"/>
  <c r="AC134" i="1"/>
  <c r="AB130" i="1"/>
  <c r="AC130" i="1"/>
  <c r="AB132" i="1"/>
  <c r="AC132" i="1"/>
  <c r="AB131" i="1"/>
  <c r="AC131" i="1"/>
  <c r="AB127" i="1"/>
  <c r="AC127" i="1"/>
  <c r="AB129" i="1"/>
  <c r="AC129" i="1"/>
  <c r="AB128" i="1"/>
  <c r="AC128" i="1"/>
  <c r="AB124" i="1"/>
  <c r="AC124" i="1"/>
  <c r="AB126" i="1"/>
  <c r="AC126" i="1"/>
  <c r="AB125" i="1"/>
  <c r="AC125" i="1"/>
  <c r="AA26" i="1"/>
  <c r="AC26" i="1" s="1"/>
  <c r="AA119" i="1"/>
  <c r="AA120" i="1"/>
  <c r="L118" i="1"/>
  <c r="AA118" i="1" s="1"/>
  <c r="AA116" i="1"/>
  <c r="AA117" i="1"/>
  <c r="L115" i="1"/>
  <c r="AA115" i="1" s="1"/>
  <c r="AA113" i="1"/>
  <c r="AA114" i="1"/>
  <c r="L112" i="1"/>
  <c r="AA112" i="1" s="1"/>
  <c r="AA110" i="1"/>
  <c r="AA111" i="1"/>
  <c r="L109" i="1"/>
  <c r="AA109" i="1" s="1"/>
  <c r="AA107" i="1"/>
  <c r="AA108" i="1"/>
  <c r="L106" i="1"/>
  <c r="AA106" i="1" s="1"/>
  <c r="L121" i="1"/>
  <c r="AA121" i="1" s="1"/>
  <c r="L103" i="1"/>
  <c r="L100" i="1"/>
  <c r="AA100" i="1" s="1"/>
  <c r="L97" i="1"/>
  <c r="AA97" i="1" s="1"/>
  <c r="L94" i="1"/>
  <c r="L91" i="1"/>
  <c r="AA91" i="1" s="1"/>
  <c r="L88" i="1"/>
  <c r="L85" i="1"/>
  <c r="L82" i="1"/>
  <c r="L79" i="1"/>
  <c r="L76" i="1"/>
  <c r="AA76" i="1" s="1"/>
  <c r="L73" i="1"/>
  <c r="AA73" i="1" s="1"/>
  <c r="L70" i="1"/>
  <c r="L67" i="1"/>
  <c r="L64" i="1"/>
  <c r="L61" i="1"/>
  <c r="L58" i="1"/>
  <c r="L55" i="1"/>
  <c r="AA55" i="1" s="1"/>
  <c r="L52" i="1"/>
  <c r="L49" i="1"/>
  <c r="AA49" i="1" s="1"/>
  <c r="L46" i="1"/>
  <c r="AA46" i="1" s="1"/>
  <c r="L43" i="1"/>
  <c r="AA43" i="1" s="1"/>
  <c r="L40" i="1"/>
  <c r="AA40" i="1" s="1"/>
  <c r="L37" i="1"/>
  <c r="AA37" i="1" s="1"/>
  <c r="L34" i="1"/>
  <c r="AA34" i="1" s="1"/>
  <c r="L31" i="1"/>
  <c r="AA31" i="1" s="1"/>
  <c r="L28" i="1"/>
  <c r="AA28" i="1" s="1"/>
  <c r="L25" i="1"/>
  <c r="L22" i="1"/>
  <c r="L19" i="1"/>
  <c r="L16" i="1"/>
  <c r="L13" i="1"/>
  <c r="L10" i="1"/>
  <c r="AA123" i="1"/>
  <c r="AA122" i="1"/>
  <c r="AA105" i="1"/>
  <c r="AA104" i="1"/>
  <c r="AA102" i="1"/>
  <c r="AA101" i="1"/>
  <c r="AA99" i="1"/>
  <c r="AA98" i="1"/>
  <c r="AA96" i="1"/>
  <c r="AA95" i="1"/>
  <c r="AA93" i="1"/>
  <c r="AA92" i="1"/>
  <c r="AA90" i="1"/>
  <c r="AA87" i="1"/>
  <c r="AA86" i="1"/>
  <c r="AA84" i="1"/>
  <c r="AA83" i="1"/>
  <c r="AA81" i="1"/>
  <c r="AA80" i="1"/>
  <c r="AA78" i="1"/>
  <c r="AA77" i="1"/>
  <c r="AA75" i="1"/>
  <c r="AA74" i="1"/>
  <c r="AA72" i="1"/>
  <c r="AA71" i="1"/>
  <c r="AA69" i="1"/>
  <c r="AA68" i="1"/>
  <c r="AA66" i="1"/>
  <c r="AA65" i="1"/>
  <c r="AA63" i="1"/>
  <c r="AA62" i="1"/>
  <c r="AA60" i="1"/>
  <c r="AA59" i="1"/>
  <c r="AA57" i="1"/>
  <c r="AA56" i="1"/>
  <c r="AA54" i="1"/>
  <c r="AA53" i="1"/>
  <c r="AA51" i="1"/>
  <c r="AA50" i="1"/>
  <c r="AA48" i="1"/>
  <c r="AA45" i="1"/>
  <c r="AA44" i="1"/>
  <c r="AA42" i="1"/>
  <c r="AA41" i="1"/>
  <c r="AA39" i="1"/>
  <c r="AA38" i="1"/>
  <c r="AA36" i="1"/>
  <c r="AA35" i="1"/>
  <c r="AA33" i="1"/>
  <c r="AA32" i="1"/>
  <c r="AA30" i="1"/>
  <c r="AA29" i="1"/>
  <c r="AA27" i="1"/>
  <c r="T17" i="1"/>
  <c r="W17" i="1"/>
  <c r="T18" i="1"/>
  <c r="W18" i="1"/>
  <c r="T19" i="1"/>
  <c r="W19" i="1"/>
  <c r="T22" i="1"/>
  <c r="W22" i="1"/>
  <c r="T25" i="1"/>
  <c r="W25" i="1"/>
  <c r="T52" i="1"/>
  <c r="W52" i="1"/>
  <c r="T58" i="1"/>
  <c r="W58" i="1"/>
  <c r="T61" i="1"/>
  <c r="W61" i="1"/>
  <c r="T64" i="1"/>
  <c r="W64" i="1"/>
  <c r="T67" i="1"/>
  <c r="W67" i="1"/>
  <c r="T70" i="1"/>
  <c r="W70" i="1"/>
  <c r="T79" i="1"/>
  <c r="W79" i="1"/>
  <c r="T82" i="1"/>
  <c r="W82" i="1"/>
  <c r="T85" i="1"/>
  <c r="W85" i="1"/>
  <c r="T88" i="1"/>
  <c r="W88" i="1"/>
  <c r="T94" i="1"/>
  <c r="W94" i="1"/>
  <c r="T103" i="1"/>
  <c r="W103" i="1"/>
  <c r="T14" i="1"/>
  <c r="W14" i="1"/>
  <c r="T15" i="1"/>
  <c r="W15" i="1"/>
  <c r="T11" i="1"/>
  <c r="W11" i="1"/>
  <c r="T12" i="1"/>
  <c r="W12" i="1"/>
  <c r="AA88" i="1" l="1"/>
  <c r="AF131" i="1"/>
  <c r="W98" i="19"/>
  <c r="T148" i="19"/>
  <c r="Q148" i="19"/>
  <c r="N148" i="19"/>
  <c r="Q248" i="19"/>
  <c r="K48" i="19"/>
  <c r="W48" i="19"/>
  <c r="T198" i="19"/>
  <c r="Q198" i="19"/>
  <c r="N198" i="19"/>
  <c r="K198" i="19"/>
  <c r="N248" i="19"/>
  <c r="W198" i="19"/>
  <c r="T48" i="19"/>
  <c r="Q48" i="19"/>
  <c r="N48" i="19"/>
  <c r="W248" i="19"/>
  <c r="K148" i="19"/>
  <c r="K248" i="19"/>
  <c r="W148" i="19"/>
  <c r="T98" i="19"/>
  <c r="Q98" i="19"/>
  <c r="N98" i="19"/>
  <c r="T248" i="19"/>
  <c r="K98" i="19"/>
  <c r="AF135" i="1"/>
  <c r="X199" i="19"/>
  <c r="U49" i="19"/>
  <c r="R49" i="19"/>
  <c r="O49" i="19"/>
  <c r="X249" i="19"/>
  <c r="L149" i="19"/>
  <c r="L249" i="19"/>
  <c r="X149" i="19"/>
  <c r="U99" i="19"/>
  <c r="R99" i="19"/>
  <c r="O99" i="19"/>
  <c r="U249" i="19"/>
  <c r="L99" i="19"/>
  <c r="X99" i="19"/>
  <c r="U149" i="19"/>
  <c r="R149" i="19"/>
  <c r="O149" i="19"/>
  <c r="R249" i="19"/>
  <c r="L49" i="19"/>
  <c r="X49" i="19"/>
  <c r="U199" i="19"/>
  <c r="R199" i="19"/>
  <c r="O199" i="19"/>
  <c r="L199" i="19"/>
  <c r="O249" i="19"/>
  <c r="AF134" i="1"/>
  <c r="W49" i="19"/>
  <c r="T199" i="19"/>
  <c r="Q199" i="19"/>
  <c r="N199" i="19"/>
  <c r="K199" i="19"/>
  <c r="N249" i="19"/>
  <c r="W199" i="19"/>
  <c r="T49" i="19"/>
  <c r="Q49" i="19"/>
  <c r="N49" i="19"/>
  <c r="W249" i="19"/>
  <c r="K149" i="19"/>
  <c r="K249" i="19"/>
  <c r="W149" i="19"/>
  <c r="T99" i="19"/>
  <c r="Q99" i="19"/>
  <c r="N99" i="19"/>
  <c r="T249" i="19"/>
  <c r="K99" i="19"/>
  <c r="W99" i="19"/>
  <c r="T149" i="19"/>
  <c r="Q149" i="19"/>
  <c r="N149" i="19"/>
  <c r="Q249" i="19"/>
  <c r="K49" i="19"/>
  <c r="AF153" i="1"/>
  <c r="X205" i="19"/>
  <c r="X105" i="19"/>
  <c r="U55" i="19"/>
  <c r="U155" i="19"/>
  <c r="R55" i="19"/>
  <c r="R155" i="19"/>
  <c r="O55" i="19"/>
  <c r="O155" i="19"/>
  <c r="X255" i="19"/>
  <c r="R255" i="19"/>
  <c r="L155" i="19"/>
  <c r="L55" i="19"/>
  <c r="L255" i="19"/>
  <c r="X155" i="19"/>
  <c r="X55" i="19"/>
  <c r="U105" i="19"/>
  <c r="U205" i="19"/>
  <c r="R105" i="19"/>
  <c r="R205" i="19"/>
  <c r="O105" i="19"/>
  <c r="O205" i="19"/>
  <c r="U255" i="19"/>
  <c r="L205" i="19"/>
  <c r="L105" i="19"/>
  <c r="O255" i="19"/>
  <c r="AF152" i="1"/>
  <c r="K105" i="19"/>
  <c r="N255" i="19"/>
  <c r="W205" i="19"/>
  <c r="W105" i="19"/>
  <c r="T55" i="19"/>
  <c r="T155" i="19"/>
  <c r="Q55" i="19"/>
  <c r="Q155" i="19"/>
  <c r="N55" i="19"/>
  <c r="N155" i="19"/>
  <c r="W255" i="19"/>
  <c r="Q255" i="19"/>
  <c r="K155" i="19"/>
  <c r="K55" i="19"/>
  <c r="K255" i="19"/>
  <c r="W155" i="19"/>
  <c r="W55" i="19"/>
  <c r="T105" i="19"/>
  <c r="T205" i="19"/>
  <c r="Q105" i="19"/>
  <c r="Q205" i="19"/>
  <c r="N105" i="19"/>
  <c r="N205" i="19"/>
  <c r="T255" i="19"/>
  <c r="K205" i="19"/>
  <c r="AF151" i="1"/>
  <c r="V155" i="19"/>
  <c r="V55" i="19"/>
  <c r="S105" i="19"/>
  <c r="S205" i="19"/>
  <c r="P105" i="19"/>
  <c r="P205" i="19"/>
  <c r="M105" i="19"/>
  <c r="M205" i="19"/>
  <c r="S255" i="19"/>
  <c r="J205" i="19"/>
  <c r="J105" i="19"/>
  <c r="M255" i="19"/>
  <c r="V205" i="19"/>
  <c r="V105" i="19"/>
  <c r="S55" i="19"/>
  <c r="S155" i="19"/>
  <c r="P55" i="19"/>
  <c r="P155" i="19"/>
  <c r="M55" i="19"/>
  <c r="M155" i="19"/>
  <c r="V255" i="19"/>
  <c r="P255" i="19"/>
  <c r="J155" i="19"/>
  <c r="J55" i="19"/>
  <c r="J255" i="19"/>
  <c r="AF149" i="1"/>
  <c r="W204" i="19"/>
  <c r="W154" i="19"/>
  <c r="W104" i="19"/>
  <c r="W54" i="19"/>
  <c r="T54" i="19"/>
  <c r="T104" i="19"/>
  <c r="T154" i="19"/>
  <c r="T204" i="19"/>
  <c r="Q54" i="19"/>
  <c r="Q104" i="19"/>
  <c r="Q154" i="19"/>
  <c r="Q204" i="19"/>
  <c r="N54" i="19"/>
  <c r="N104" i="19"/>
  <c r="N154" i="19"/>
  <c r="N204" i="19"/>
  <c r="W254" i="19"/>
  <c r="T254" i="19"/>
  <c r="Q254" i="19"/>
  <c r="K204" i="19"/>
  <c r="K154" i="19"/>
  <c r="K104" i="19"/>
  <c r="K54" i="19"/>
  <c r="N254" i="19"/>
  <c r="K254" i="19"/>
  <c r="AF150" i="1"/>
  <c r="X154" i="19"/>
  <c r="X104" i="19"/>
  <c r="U54" i="19"/>
  <c r="U154" i="19"/>
  <c r="R154" i="19"/>
  <c r="R204" i="19"/>
  <c r="O104" i="19"/>
  <c r="O154" i="19"/>
  <c r="X254" i="19"/>
  <c r="R254" i="19"/>
  <c r="L154" i="19"/>
  <c r="L54" i="19"/>
  <c r="X204" i="19"/>
  <c r="X54" i="19"/>
  <c r="U104" i="19"/>
  <c r="U204" i="19"/>
  <c r="R54" i="19"/>
  <c r="R104" i="19"/>
  <c r="O54" i="19"/>
  <c r="O204" i="19"/>
  <c r="U254" i="19"/>
  <c r="L204" i="19"/>
  <c r="L104" i="19"/>
  <c r="O254" i="19"/>
  <c r="L254" i="19"/>
  <c r="AF145" i="1"/>
  <c r="V53" i="19"/>
  <c r="S203" i="19"/>
  <c r="P203" i="19"/>
  <c r="M203" i="19"/>
  <c r="J203" i="19"/>
  <c r="M253" i="19"/>
  <c r="V103" i="19"/>
  <c r="S153" i="19"/>
  <c r="P153" i="19"/>
  <c r="M153" i="19"/>
  <c r="P253" i="19"/>
  <c r="J53" i="19"/>
  <c r="V153" i="19"/>
  <c r="S103" i="19"/>
  <c r="P103" i="19"/>
  <c r="M103" i="19"/>
  <c r="S253" i="19"/>
  <c r="J103" i="19"/>
  <c r="V203" i="19"/>
  <c r="S53" i="19"/>
  <c r="P53" i="19"/>
  <c r="M53" i="19"/>
  <c r="V253" i="19"/>
  <c r="J153" i="19"/>
  <c r="J253" i="19"/>
  <c r="AF147" i="1"/>
  <c r="X153" i="19"/>
  <c r="U103" i="19"/>
  <c r="R103" i="19"/>
  <c r="O103" i="19"/>
  <c r="U253" i="19"/>
  <c r="L103" i="19"/>
  <c r="X203" i="19"/>
  <c r="U53" i="19"/>
  <c r="R53" i="19"/>
  <c r="O53" i="19"/>
  <c r="X253" i="19"/>
  <c r="L153" i="19"/>
  <c r="L253" i="19"/>
  <c r="X53" i="19"/>
  <c r="U203" i="19"/>
  <c r="R203" i="19"/>
  <c r="O203" i="19"/>
  <c r="L203" i="19"/>
  <c r="O253" i="19"/>
  <c r="X103" i="19"/>
  <c r="U153" i="19"/>
  <c r="R153" i="19"/>
  <c r="O153" i="19"/>
  <c r="R253" i="19"/>
  <c r="L53" i="19"/>
  <c r="AF146" i="1"/>
  <c r="W103" i="19"/>
  <c r="T153" i="19"/>
  <c r="Q153" i="19"/>
  <c r="N153" i="19"/>
  <c r="Q253" i="19"/>
  <c r="K53" i="19"/>
  <c r="W153" i="19"/>
  <c r="T103" i="19"/>
  <c r="Q103" i="19"/>
  <c r="N103" i="19"/>
  <c r="T253" i="19"/>
  <c r="K103" i="19"/>
  <c r="W203" i="19"/>
  <c r="T53" i="19"/>
  <c r="Q53" i="19"/>
  <c r="N53" i="19"/>
  <c r="W253" i="19"/>
  <c r="K153" i="19"/>
  <c r="K253" i="19"/>
  <c r="W53" i="19"/>
  <c r="T203" i="19"/>
  <c r="Q203" i="19"/>
  <c r="N203" i="19"/>
  <c r="K203" i="19"/>
  <c r="N253" i="19"/>
  <c r="AF142" i="1"/>
  <c r="V152" i="19"/>
  <c r="V52" i="19"/>
  <c r="S102" i="19"/>
  <c r="S202" i="19"/>
  <c r="P102" i="19"/>
  <c r="P202" i="19"/>
  <c r="M102" i="19"/>
  <c r="M202" i="19"/>
  <c r="S252" i="19"/>
  <c r="J202" i="19"/>
  <c r="J102" i="19"/>
  <c r="M252" i="19"/>
  <c r="V202" i="19"/>
  <c r="V102" i="19"/>
  <c r="S52" i="19"/>
  <c r="S152" i="19"/>
  <c r="P52" i="19"/>
  <c r="P152" i="19"/>
  <c r="M52" i="19"/>
  <c r="M152" i="19"/>
  <c r="V252" i="19"/>
  <c r="P252" i="19"/>
  <c r="J152" i="19"/>
  <c r="J52" i="19"/>
  <c r="J252" i="19"/>
  <c r="AF144" i="1"/>
  <c r="X202" i="19"/>
  <c r="X102" i="19"/>
  <c r="U52" i="19"/>
  <c r="U152" i="19"/>
  <c r="R52" i="19"/>
  <c r="R152" i="19"/>
  <c r="O52" i="19"/>
  <c r="O152" i="19"/>
  <c r="X252" i="19"/>
  <c r="R252" i="19"/>
  <c r="L152" i="19"/>
  <c r="L52" i="19"/>
  <c r="L252" i="19"/>
  <c r="X152" i="19"/>
  <c r="X52" i="19"/>
  <c r="U102" i="19"/>
  <c r="U202" i="19"/>
  <c r="R102" i="19"/>
  <c r="R202" i="19"/>
  <c r="O102" i="19"/>
  <c r="O202" i="19"/>
  <c r="U252" i="19"/>
  <c r="L202" i="19"/>
  <c r="L102" i="19"/>
  <c r="O252" i="19"/>
  <c r="AF143" i="1"/>
  <c r="W202" i="19"/>
  <c r="W102" i="19"/>
  <c r="T52" i="19"/>
  <c r="T152" i="19"/>
  <c r="Q52" i="19"/>
  <c r="Q152" i="19"/>
  <c r="N52" i="19"/>
  <c r="N152" i="19"/>
  <c r="W252" i="19"/>
  <c r="Q252" i="19"/>
  <c r="K152" i="19"/>
  <c r="K52" i="19"/>
  <c r="K252" i="19"/>
  <c r="W152" i="19"/>
  <c r="W52" i="19"/>
  <c r="T102" i="19"/>
  <c r="T202" i="19"/>
  <c r="Q102" i="19"/>
  <c r="Q202" i="19"/>
  <c r="N102" i="19"/>
  <c r="N202" i="19"/>
  <c r="T252" i="19"/>
  <c r="K202" i="19"/>
  <c r="K102" i="19"/>
  <c r="N252" i="19"/>
  <c r="AF140" i="1"/>
  <c r="W201" i="19"/>
  <c r="T51" i="19"/>
  <c r="Q51" i="19"/>
  <c r="N51" i="19"/>
  <c r="W251" i="19"/>
  <c r="K151" i="19"/>
  <c r="K251" i="19"/>
  <c r="W151" i="19"/>
  <c r="T101" i="19"/>
  <c r="Q101" i="19"/>
  <c r="N101" i="19"/>
  <c r="T251" i="19"/>
  <c r="K101" i="19"/>
  <c r="W101" i="19"/>
  <c r="T151" i="19"/>
  <c r="Q151" i="19"/>
  <c r="N151" i="19"/>
  <c r="Q251" i="19"/>
  <c r="K51" i="19"/>
  <c r="W51" i="19"/>
  <c r="T201" i="19"/>
  <c r="Q201" i="19"/>
  <c r="N201" i="19"/>
  <c r="K201" i="19"/>
  <c r="N251" i="19"/>
  <c r="AF141" i="1"/>
  <c r="X151" i="19"/>
  <c r="U101" i="19"/>
  <c r="R101" i="19"/>
  <c r="O101" i="19"/>
  <c r="U251" i="19"/>
  <c r="L101" i="19"/>
  <c r="X101" i="19"/>
  <c r="U151" i="19"/>
  <c r="R151" i="19"/>
  <c r="O151" i="19"/>
  <c r="R251" i="19"/>
  <c r="L51" i="19"/>
  <c r="X51" i="19"/>
  <c r="U201" i="19"/>
  <c r="R201" i="19"/>
  <c r="O201" i="19"/>
  <c r="L201" i="19"/>
  <c r="O251" i="19"/>
  <c r="X201" i="19"/>
  <c r="U51" i="19"/>
  <c r="R51" i="19"/>
  <c r="O51" i="19"/>
  <c r="X251" i="19"/>
  <c r="L151" i="19"/>
  <c r="L251" i="19"/>
  <c r="AF139" i="1"/>
  <c r="V51" i="19"/>
  <c r="S201" i="19"/>
  <c r="P201" i="19"/>
  <c r="M201" i="19"/>
  <c r="J201" i="19"/>
  <c r="M251" i="19"/>
  <c r="V201" i="19"/>
  <c r="S51" i="19"/>
  <c r="P51" i="19"/>
  <c r="M51" i="19"/>
  <c r="V251" i="19"/>
  <c r="J151" i="19"/>
  <c r="J251" i="19"/>
  <c r="V151" i="19"/>
  <c r="S101" i="19"/>
  <c r="P101" i="19"/>
  <c r="M101" i="19"/>
  <c r="S251" i="19"/>
  <c r="J101" i="19"/>
  <c r="V101" i="19"/>
  <c r="S151" i="19"/>
  <c r="P151" i="19"/>
  <c r="M151" i="19"/>
  <c r="P251" i="19"/>
  <c r="J51" i="19"/>
  <c r="AF137" i="1"/>
  <c r="W100" i="19"/>
  <c r="T150" i="19"/>
  <c r="Q150" i="19"/>
  <c r="N150" i="19"/>
  <c r="Q250" i="19"/>
  <c r="K50" i="19"/>
  <c r="W150" i="19"/>
  <c r="T100" i="19"/>
  <c r="Q100" i="19"/>
  <c r="N100" i="19"/>
  <c r="T250" i="19"/>
  <c r="K100" i="19"/>
  <c r="W200" i="19"/>
  <c r="T50" i="19"/>
  <c r="Q50" i="19"/>
  <c r="N50" i="19"/>
  <c r="W250" i="19"/>
  <c r="K150" i="19"/>
  <c r="K250" i="19"/>
  <c r="W50" i="19"/>
  <c r="T200" i="19"/>
  <c r="Q200" i="19"/>
  <c r="N200" i="19"/>
  <c r="K200" i="19"/>
  <c r="N250" i="19"/>
  <c r="AF138" i="1"/>
  <c r="X100" i="19"/>
  <c r="X150" i="19"/>
  <c r="U100" i="19"/>
  <c r="R100" i="19"/>
  <c r="O100" i="19"/>
  <c r="U250" i="19"/>
  <c r="L100" i="19"/>
  <c r="X200" i="19"/>
  <c r="U50" i="19"/>
  <c r="R50" i="19"/>
  <c r="O50" i="19"/>
  <c r="X250" i="19"/>
  <c r="L150" i="19"/>
  <c r="L250" i="19"/>
  <c r="X50" i="19"/>
  <c r="U200" i="19"/>
  <c r="R200" i="19"/>
  <c r="O200" i="19"/>
  <c r="L200" i="19"/>
  <c r="O250" i="19"/>
  <c r="U150" i="19"/>
  <c r="R150" i="19"/>
  <c r="O150" i="19"/>
  <c r="R250" i="19"/>
  <c r="L50" i="19"/>
  <c r="AF129" i="1"/>
  <c r="X197" i="19"/>
  <c r="X147" i="19"/>
  <c r="X97" i="19"/>
  <c r="X47" i="19"/>
  <c r="U47" i="19"/>
  <c r="U97" i="19"/>
  <c r="U147" i="19"/>
  <c r="U197" i="19"/>
  <c r="R47" i="19"/>
  <c r="R97" i="19"/>
  <c r="R147" i="19"/>
  <c r="R197" i="19"/>
  <c r="O47" i="19"/>
  <c r="O97" i="19"/>
  <c r="O147" i="19"/>
  <c r="O197" i="19"/>
  <c r="X247" i="19"/>
  <c r="U247" i="19"/>
  <c r="R247" i="19"/>
  <c r="L197" i="19"/>
  <c r="L147" i="19"/>
  <c r="L97" i="19"/>
  <c r="L47" i="19"/>
  <c r="O247" i="19"/>
  <c r="L247" i="19"/>
  <c r="AF128" i="1"/>
  <c r="W197" i="19"/>
  <c r="T47" i="19"/>
  <c r="Q47" i="19"/>
  <c r="N47" i="19"/>
  <c r="W247" i="19"/>
  <c r="K147" i="19"/>
  <c r="K247" i="19"/>
  <c r="W147" i="19"/>
  <c r="T97" i="19"/>
  <c r="Q97" i="19"/>
  <c r="N97" i="19"/>
  <c r="T247" i="19"/>
  <c r="K97" i="19"/>
  <c r="W47" i="19"/>
  <c r="T197" i="19"/>
  <c r="K197" i="19"/>
  <c r="N247" i="19"/>
  <c r="W97" i="19"/>
  <c r="T147" i="19"/>
  <c r="Q147" i="19"/>
  <c r="N147" i="19"/>
  <c r="Q247" i="19"/>
  <c r="K47" i="19"/>
  <c r="Q197" i="19"/>
  <c r="N197" i="19"/>
  <c r="AF125" i="1"/>
  <c r="W196" i="19"/>
  <c r="W146" i="19"/>
  <c r="W96" i="19"/>
  <c r="W46" i="19"/>
  <c r="T46" i="19"/>
  <c r="T96" i="19"/>
  <c r="T146" i="19"/>
  <c r="T196" i="19"/>
  <c r="Q46" i="19"/>
  <c r="Q96" i="19"/>
  <c r="Q146" i="19"/>
  <c r="Q196" i="19"/>
  <c r="N46" i="19"/>
  <c r="N96" i="19"/>
  <c r="N146" i="19"/>
  <c r="N196" i="19"/>
  <c r="W246" i="19"/>
  <c r="T246" i="19"/>
  <c r="Q246" i="19"/>
  <c r="K196" i="19"/>
  <c r="K146" i="19"/>
  <c r="K96" i="19"/>
  <c r="K46" i="19"/>
  <c r="N246" i="19"/>
  <c r="K246" i="19"/>
  <c r="AF126" i="1"/>
  <c r="X196" i="19"/>
  <c r="X146" i="19"/>
  <c r="X96" i="19"/>
  <c r="X46" i="19"/>
  <c r="U46" i="19"/>
  <c r="U96" i="19"/>
  <c r="U146" i="19"/>
  <c r="U196" i="19"/>
  <c r="R46" i="19"/>
  <c r="R96" i="19"/>
  <c r="R146" i="19"/>
  <c r="R196" i="19"/>
  <c r="O46" i="19"/>
  <c r="O96" i="19"/>
  <c r="O146" i="19"/>
  <c r="O196" i="19"/>
  <c r="X246" i="19"/>
  <c r="U246" i="19"/>
  <c r="R246" i="19"/>
  <c r="L196" i="19"/>
  <c r="L146" i="19"/>
  <c r="L96" i="19"/>
  <c r="L46" i="19"/>
  <c r="O246" i="19"/>
  <c r="L246" i="19"/>
  <c r="AF136" i="1"/>
  <c r="V200" i="19"/>
  <c r="V150" i="19"/>
  <c r="V100" i="19"/>
  <c r="V50" i="19"/>
  <c r="S50" i="19"/>
  <c r="S100" i="19"/>
  <c r="S150" i="19"/>
  <c r="S200" i="19"/>
  <c r="P50" i="19"/>
  <c r="P100" i="19"/>
  <c r="P150" i="19"/>
  <c r="P200" i="19"/>
  <c r="M50" i="19"/>
  <c r="M100" i="19"/>
  <c r="M150" i="19"/>
  <c r="M200" i="19"/>
  <c r="V250" i="19"/>
  <c r="S250" i="19"/>
  <c r="P250" i="19"/>
  <c r="J200" i="19"/>
  <c r="J100" i="19"/>
  <c r="J50" i="19"/>
  <c r="M250" i="19"/>
  <c r="J250" i="19"/>
  <c r="AF132" i="1"/>
  <c r="X198" i="19"/>
  <c r="X98" i="19"/>
  <c r="U48" i="19"/>
  <c r="U148" i="19"/>
  <c r="R48" i="19"/>
  <c r="R148" i="19"/>
  <c r="O48" i="19"/>
  <c r="O148" i="19"/>
  <c r="X248" i="19"/>
  <c r="R248" i="19"/>
  <c r="L148" i="19"/>
  <c r="L48" i="19"/>
  <c r="L248" i="19"/>
  <c r="X148" i="19"/>
  <c r="X48" i="19"/>
  <c r="U98" i="19"/>
  <c r="U198" i="19"/>
  <c r="R98" i="19"/>
  <c r="R198" i="19"/>
  <c r="O98" i="19"/>
  <c r="O198" i="19"/>
  <c r="U248" i="19"/>
  <c r="L198" i="19"/>
  <c r="L98" i="19"/>
  <c r="O248" i="19"/>
  <c r="AF24" i="1"/>
  <c r="X61" i="19"/>
  <c r="U111" i="19"/>
  <c r="R111" i="19"/>
  <c r="O111" i="19"/>
  <c r="R211" i="19"/>
  <c r="L11" i="19"/>
  <c r="L111" i="19"/>
  <c r="O211" i="19"/>
  <c r="L211" i="19"/>
  <c r="X111" i="19"/>
  <c r="U61" i="19"/>
  <c r="R61" i="19"/>
  <c r="O61" i="19"/>
  <c r="U211" i="19"/>
  <c r="L61" i="19"/>
  <c r="X11" i="19"/>
  <c r="U161" i="19"/>
  <c r="R161" i="19"/>
  <c r="O161" i="19"/>
  <c r="L161" i="19"/>
  <c r="X161" i="19"/>
  <c r="U11" i="19"/>
  <c r="R11" i="19"/>
  <c r="O11" i="19"/>
  <c r="X211" i="19"/>
  <c r="AF23" i="1"/>
  <c r="W161" i="19"/>
  <c r="W111" i="19"/>
  <c r="W61" i="19"/>
  <c r="W11" i="19"/>
  <c r="T11" i="19"/>
  <c r="T61" i="19"/>
  <c r="T111" i="19"/>
  <c r="T161" i="19"/>
  <c r="Q11" i="19"/>
  <c r="Q61" i="19"/>
  <c r="Q111" i="19"/>
  <c r="Q161" i="19"/>
  <c r="N11" i="19"/>
  <c r="N61" i="19"/>
  <c r="N111" i="19"/>
  <c r="N161" i="19"/>
  <c r="W211" i="19"/>
  <c r="T211" i="19"/>
  <c r="Q211" i="19"/>
  <c r="K161" i="19"/>
  <c r="K111" i="19"/>
  <c r="K61" i="19"/>
  <c r="K11" i="19"/>
  <c r="N211" i="19"/>
  <c r="K211" i="19"/>
  <c r="AF21" i="1"/>
  <c r="X60" i="19"/>
  <c r="U160" i="19"/>
  <c r="R160" i="19"/>
  <c r="O160" i="19"/>
  <c r="L160" i="19"/>
  <c r="O210" i="19"/>
  <c r="X10" i="19"/>
  <c r="R10" i="19"/>
  <c r="O10" i="19"/>
  <c r="X210" i="19"/>
  <c r="L110" i="19"/>
  <c r="L210" i="19"/>
  <c r="U110" i="19"/>
  <c r="R110" i="19"/>
  <c r="R210" i="19"/>
  <c r="U60" i="19"/>
  <c r="X160" i="19"/>
  <c r="U10" i="19"/>
  <c r="R60" i="19"/>
  <c r="O60" i="19"/>
  <c r="U210" i="19"/>
  <c r="L60" i="19"/>
  <c r="X110" i="19"/>
  <c r="O110" i="19"/>
  <c r="L10" i="19"/>
  <c r="AB26" i="1"/>
  <c r="AB118" i="1"/>
  <c r="AC118" i="1"/>
  <c r="AB120" i="1"/>
  <c r="AC120" i="1"/>
  <c r="AB119" i="1"/>
  <c r="AC119" i="1"/>
  <c r="AB116" i="1"/>
  <c r="AC116" i="1"/>
  <c r="AB115" i="1"/>
  <c r="AC115" i="1"/>
  <c r="AB117" i="1"/>
  <c r="AC117" i="1"/>
  <c r="AB112" i="1"/>
  <c r="AC112" i="1"/>
  <c r="AB113" i="1"/>
  <c r="AC113" i="1"/>
  <c r="AB114" i="1"/>
  <c r="AC114" i="1"/>
  <c r="AB109" i="1"/>
  <c r="AC109" i="1"/>
  <c r="AB110" i="1"/>
  <c r="AC110" i="1"/>
  <c r="AB111" i="1"/>
  <c r="AC111" i="1"/>
  <c r="AB106" i="1"/>
  <c r="AC106" i="1"/>
  <c r="AB107" i="1"/>
  <c r="AC107" i="1"/>
  <c r="AB108" i="1"/>
  <c r="AC108" i="1"/>
  <c r="AB123" i="1"/>
  <c r="AC123" i="1"/>
  <c r="AB122" i="1"/>
  <c r="AC122" i="1"/>
  <c r="AB121" i="1"/>
  <c r="AC121" i="1"/>
  <c r="AB105" i="1"/>
  <c r="AC105" i="1"/>
  <c r="AB104" i="1"/>
  <c r="AC104" i="1"/>
  <c r="AB102" i="1"/>
  <c r="AC102" i="1"/>
  <c r="AB101" i="1"/>
  <c r="AC101" i="1"/>
  <c r="AB99" i="1"/>
  <c r="AC99" i="1"/>
  <c r="AB98" i="1"/>
  <c r="AC98" i="1"/>
  <c r="AB100" i="1"/>
  <c r="AC100" i="1"/>
  <c r="AB97" i="1"/>
  <c r="AC97" i="1"/>
  <c r="AB96" i="1"/>
  <c r="AC96" i="1"/>
  <c r="AB95" i="1"/>
  <c r="AC95" i="1"/>
  <c r="AB93" i="1"/>
  <c r="AC93" i="1"/>
  <c r="AB92" i="1"/>
  <c r="AC92" i="1"/>
  <c r="AB90" i="1"/>
  <c r="AC90" i="1"/>
  <c r="AB91" i="1"/>
  <c r="AC91" i="1"/>
  <c r="AB89" i="1"/>
  <c r="AC89" i="1"/>
  <c r="AB87" i="1"/>
  <c r="AC87" i="1"/>
  <c r="AB86" i="1"/>
  <c r="AC86" i="1"/>
  <c r="AB84" i="1"/>
  <c r="AC84" i="1"/>
  <c r="AB83" i="1"/>
  <c r="AC83" i="1"/>
  <c r="AB81" i="1"/>
  <c r="AC81" i="1"/>
  <c r="AB80" i="1"/>
  <c r="AC80" i="1"/>
  <c r="AB78" i="1"/>
  <c r="AC78" i="1"/>
  <c r="AB76" i="1"/>
  <c r="AC76" i="1"/>
  <c r="AB77" i="1"/>
  <c r="AC77" i="1"/>
  <c r="AB75" i="1"/>
  <c r="AC75" i="1"/>
  <c r="AB74" i="1"/>
  <c r="AC74" i="1"/>
  <c r="AB73" i="1"/>
  <c r="AC73" i="1"/>
  <c r="AB72" i="1"/>
  <c r="AC72" i="1"/>
  <c r="AB71" i="1"/>
  <c r="AC71" i="1"/>
  <c r="AB69" i="1"/>
  <c r="AC69" i="1"/>
  <c r="AB68" i="1"/>
  <c r="AC68" i="1"/>
  <c r="AB66" i="1"/>
  <c r="AC66" i="1"/>
  <c r="AB65" i="1"/>
  <c r="AC65" i="1"/>
  <c r="AB63" i="1"/>
  <c r="AC63" i="1"/>
  <c r="AB62" i="1"/>
  <c r="AC62" i="1"/>
  <c r="AB60" i="1"/>
  <c r="AC60" i="1"/>
  <c r="AB59" i="1"/>
  <c r="AC59" i="1"/>
  <c r="AB57" i="1"/>
  <c r="AC57" i="1"/>
  <c r="AB56" i="1"/>
  <c r="AC56" i="1"/>
  <c r="AB54" i="1"/>
  <c r="AC54" i="1"/>
  <c r="AB55" i="1"/>
  <c r="AC55" i="1"/>
  <c r="AB53" i="1"/>
  <c r="AC53" i="1"/>
  <c r="AB51" i="1"/>
  <c r="AC51" i="1"/>
  <c r="AB50" i="1"/>
  <c r="AC50" i="1"/>
  <c r="AB48" i="1"/>
  <c r="AC48" i="1"/>
  <c r="AB47" i="1"/>
  <c r="AC47" i="1"/>
  <c r="AB49" i="1"/>
  <c r="AC49" i="1"/>
  <c r="AB46" i="1"/>
  <c r="AC46" i="1"/>
  <c r="AB45" i="1"/>
  <c r="AC45" i="1"/>
  <c r="AB44" i="1"/>
  <c r="AC44" i="1"/>
  <c r="AB43" i="1"/>
  <c r="AC43" i="1"/>
  <c r="AB42" i="1"/>
  <c r="AC42" i="1"/>
  <c r="AB41" i="1"/>
  <c r="AC41" i="1"/>
  <c r="AB40" i="1"/>
  <c r="AC40" i="1"/>
  <c r="AB39" i="1"/>
  <c r="AC39" i="1"/>
  <c r="AB38" i="1"/>
  <c r="AC38" i="1"/>
  <c r="AB37" i="1"/>
  <c r="AC37" i="1"/>
  <c r="AB36" i="1"/>
  <c r="AC36" i="1"/>
  <c r="AB35" i="1"/>
  <c r="AC35" i="1"/>
  <c r="AB34" i="1"/>
  <c r="AC34" i="1"/>
  <c r="AB33" i="1"/>
  <c r="AC33" i="1"/>
  <c r="AB32" i="1"/>
  <c r="AC32" i="1"/>
  <c r="AB31" i="1"/>
  <c r="AC31" i="1"/>
  <c r="AB30" i="1"/>
  <c r="AC30" i="1"/>
  <c r="AB29" i="1"/>
  <c r="AC29" i="1"/>
  <c r="AB28" i="1"/>
  <c r="AC28" i="1"/>
  <c r="AB27" i="1"/>
  <c r="AC27" i="1"/>
  <c r="T8" i="1"/>
  <c r="W8" i="1"/>
  <c r="T9" i="1"/>
  <c r="W9" i="1"/>
  <c r="T7" i="1"/>
  <c r="T10" i="1"/>
  <c r="T13" i="1"/>
  <c r="T16" i="1"/>
  <c r="X165" i="19" l="1"/>
  <c r="X65" i="19"/>
  <c r="X115" i="19"/>
  <c r="X15" i="19"/>
  <c r="U15" i="19"/>
  <c r="U115" i="19"/>
  <c r="R65" i="19"/>
  <c r="R165" i="19"/>
  <c r="U65" i="19"/>
  <c r="U165" i="19"/>
  <c r="O115" i="19"/>
  <c r="X215" i="19"/>
  <c r="R215" i="19"/>
  <c r="R15" i="19"/>
  <c r="R115" i="19"/>
  <c r="O65" i="19"/>
  <c r="O165" i="19"/>
  <c r="U215" i="19"/>
  <c r="L165" i="19"/>
  <c r="L65" i="19"/>
  <c r="O215" i="19"/>
  <c r="O15" i="19"/>
  <c r="L115" i="19"/>
  <c r="L15" i="19"/>
  <c r="X122" i="19"/>
  <c r="X22" i="19"/>
  <c r="U72" i="19"/>
  <c r="U172" i="19"/>
  <c r="R72" i="19"/>
  <c r="R172" i="19"/>
  <c r="X172" i="19"/>
  <c r="X72" i="19"/>
  <c r="U22" i="19"/>
  <c r="U122" i="19"/>
  <c r="R22" i="19"/>
  <c r="R122" i="19"/>
  <c r="O22" i="19"/>
  <c r="O72" i="19"/>
  <c r="O172" i="19"/>
  <c r="U222" i="19"/>
  <c r="L172" i="19"/>
  <c r="L72" i="19"/>
  <c r="O222" i="19"/>
  <c r="O122" i="19"/>
  <c r="X222" i="19"/>
  <c r="R222" i="19"/>
  <c r="L122" i="19"/>
  <c r="L22" i="19"/>
  <c r="X126" i="19"/>
  <c r="X26" i="19"/>
  <c r="U76" i="19"/>
  <c r="U176" i="19"/>
  <c r="R76" i="19"/>
  <c r="R176" i="19"/>
  <c r="R126" i="19"/>
  <c r="O26" i="19"/>
  <c r="X176" i="19"/>
  <c r="X76" i="19"/>
  <c r="U26" i="19"/>
  <c r="U126" i="19"/>
  <c r="R26" i="19"/>
  <c r="O76" i="19"/>
  <c r="O176" i="19"/>
  <c r="U226" i="19"/>
  <c r="L176" i="19"/>
  <c r="L76" i="19"/>
  <c r="O226" i="19"/>
  <c r="L126" i="19"/>
  <c r="L26" i="19"/>
  <c r="O126" i="19"/>
  <c r="X226" i="19"/>
  <c r="R226" i="19"/>
  <c r="X178" i="19"/>
  <c r="X78" i="19"/>
  <c r="U28" i="19"/>
  <c r="X128" i="19"/>
  <c r="X28" i="19"/>
  <c r="U78" i="19"/>
  <c r="U128" i="19"/>
  <c r="U178" i="19"/>
  <c r="R28" i="19"/>
  <c r="R78" i="19"/>
  <c r="R178" i="19"/>
  <c r="O128" i="19"/>
  <c r="X228" i="19"/>
  <c r="R228" i="19"/>
  <c r="O78" i="19"/>
  <c r="O178" i="19"/>
  <c r="U228" i="19"/>
  <c r="L178" i="19"/>
  <c r="L78" i="19"/>
  <c r="O228" i="19"/>
  <c r="R128" i="19"/>
  <c r="O28" i="19"/>
  <c r="L128" i="19"/>
  <c r="L28" i="19"/>
  <c r="W130" i="19"/>
  <c r="W30" i="19"/>
  <c r="T80" i="19"/>
  <c r="T180" i="19"/>
  <c r="T130" i="19"/>
  <c r="Q30" i="19"/>
  <c r="Q80" i="19"/>
  <c r="Q180" i="19"/>
  <c r="W180" i="19"/>
  <c r="W80" i="19"/>
  <c r="T30" i="19"/>
  <c r="Q130" i="19"/>
  <c r="N30" i="19"/>
  <c r="N80" i="19"/>
  <c r="N180" i="19"/>
  <c r="T230" i="19"/>
  <c r="K180" i="19"/>
  <c r="K80" i="19"/>
  <c r="N230" i="19"/>
  <c r="N130" i="19"/>
  <c r="W230" i="19"/>
  <c r="Q230" i="19"/>
  <c r="K130" i="19"/>
  <c r="K30" i="19"/>
  <c r="X182" i="19"/>
  <c r="X82" i="19"/>
  <c r="U32" i="19"/>
  <c r="X132" i="19"/>
  <c r="X32" i="19"/>
  <c r="U82" i="19"/>
  <c r="R82" i="19"/>
  <c r="R182" i="19"/>
  <c r="U132" i="19"/>
  <c r="U182" i="19"/>
  <c r="R32" i="19"/>
  <c r="O132" i="19"/>
  <c r="X232" i="19"/>
  <c r="R232" i="19"/>
  <c r="R132" i="19"/>
  <c r="O32" i="19"/>
  <c r="O82" i="19"/>
  <c r="O182" i="19"/>
  <c r="U232" i="19"/>
  <c r="L182" i="19"/>
  <c r="L82" i="19"/>
  <c r="O232" i="19"/>
  <c r="L132" i="19"/>
  <c r="L32" i="19"/>
  <c r="X133" i="19"/>
  <c r="X33" i="19"/>
  <c r="X183" i="19"/>
  <c r="X83" i="19"/>
  <c r="U33" i="19"/>
  <c r="U133" i="19"/>
  <c r="R33" i="19"/>
  <c r="U183" i="19"/>
  <c r="R133" i="19"/>
  <c r="O33" i="19"/>
  <c r="U83" i="19"/>
  <c r="O83" i="19"/>
  <c r="O183" i="19"/>
  <c r="U233" i="19"/>
  <c r="L183" i="19"/>
  <c r="R83" i="19"/>
  <c r="R183" i="19"/>
  <c r="O133" i="19"/>
  <c r="X233" i="19"/>
  <c r="R233" i="19"/>
  <c r="L133" i="19"/>
  <c r="L33" i="19"/>
  <c r="L83" i="19"/>
  <c r="O233" i="19"/>
  <c r="X116" i="19"/>
  <c r="X16" i="19"/>
  <c r="X166" i="19"/>
  <c r="X66" i="19"/>
  <c r="U16" i="19"/>
  <c r="R16" i="19"/>
  <c r="R116" i="19"/>
  <c r="O16" i="19"/>
  <c r="U66" i="19"/>
  <c r="U116" i="19"/>
  <c r="U166" i="19"/>
  <c r="O66" i="19"/>
  <c r="O166" i="19"/>
  <c r="U216" i="19"/>
  <c r="R66" i="19"/>
  <c r="R166" i="19"/>
  <c r="O116" i="19"/>
  <c r="X216" i="19"/>
  <c r="R216" i="19"/>
  <c r="L166" i="19"/>
  <c r="L116" i="19"/>
  <c r="L16" i="19"/>
  <c r="L66" i="19"/>
  <c r="O216" i="19"/>
  <c r="X118" i="19"/>
  <c r="X18" i="19"/>
  <c r="X168" i="19"/>
  <c r="X68" i="19"/>
  <c r="U18" i="19"/>
  <c r="R18" i="19"/>
  <c r="R118" i="19"/>
  <c r="O18" i="19"/>
  <c r="O68" i="19"/>
  <c r="O168" i="19"/>
  <c r="U218" i="19"/>
  <c r="U118" i="19"/>
  <c r="R68" i="19"/>
  <c r="R168" i="19"/>
  <c r="O118" i="19"/>
  <c r="X218" i="19"/>
  <c r="R218" i="19"/>
  <c r="L118" i="19"/>
  <c r="L18" i="19"/>
  <c r="U68" i="19"/>
  <c r="U168" i="19"/>
  <c r="L168" i="19"/>
  <c r="L68" i="19"/>
  <c r="O218" i="19"/>
  <c r="X120" i="19"/>
  <c r="X20" i="19"/>
  <c r="U70" i="19"/>
  <c r="U170" i="19"/>
  <c r="U120" i="19"/>
  <c r="R70" i="19"/>
  <c r="R170" i="19"/>
  <c r="X170" i="19"/>
  <c r="X70" i="19"/>
  <c r="U20" i="19"/>
  <c r="R20" i="19"/>
  <c r="R120" i="19"/>
  <c r="O20" i="19"/>
  <c r="O70" i="19"/>
  <c r="O170" i="19"/>
  <c r="U220" i="19"/>
  <c r="L170" i="19"/>
  <c r="L70" i="19"/>
  <c r="O220" i="19"/>
  <c r="O120" i="19"/>
  <c r="X220" i="19"/>
  <c r="R220" i="19"/>
  <c r="L120" i="19"/>
  <c r="L20" i="19"/>
  <c r="W125" i="19"/>
  <c r="W25" i="19"/>
  <c r="W175" i="19"/>
  <c r="W75" i="19"/>
  <c r="T25" i="19"/>
  <c r="T125" i="19"/>
  <c r="Q25" i="19"/>
  <c r="Q125" i="19"/>
  <c r="N25" i="19"/>
  <c r="T75" i="19"/>
  <c r="T175" i="19"/>
  <c r="Q75" i="19"/>
  <c r="Q175" i="19"/>
  <c r="N75" i="19"/>
  <c r="N175" i="19"/>
  <c r="T225" i="19"/>
  <c r="N125" i="19"/>
  <c r="W225" i="19"/>
  <c r="Q225" i="19"/>
  <c r="K125" i="19"/>
  <c r="K25" i="19"/>
  <c r="K175" i="19"/>
  <c r="K75" i="19"/>
  <c r="N225" i="19"/>
  <c r="W181" i="19"/>
  <c r="W81" i="19"/>
  <c r="T31" i="19"/>
  <c r="T131" i="19"/>
  <c r="Q31" i="19"/>
  <c r="Q131" i="19"/>
  <c r="N31" i="19"/>
  <c r="W131" i="19"/>
  <c r="W31" i="19"/>
  <c r="Q81" i="19"/>
  <c r="Q181" i="19"/>
  <c r="T81" i="19"/>
  <c r="T181" i="19"/>
  <c r="N131" i="19"/>
  <c r="W231" i="19"/>
  <c r="Q231" i="19"/>
  <c r="K131" i="19"/>
  <c r="K31" i="19"/>
  <c r="N81" i="19"/>
  <c r="N181" i="19"/>
  <c r="T231" i="19"/>
  <c r="K181" i="19"/>
  <c r="K81" i="19"/>
  <c r="N231" i="19"/>
  <c r="W133" i="19"/>
  <c r="W33" i="19"/>
  <c r="T83" i="19"/>
  <c r="T183" i="19"/>
  <c r="Q83" i="19"/>
  <c r="Q183" i="19"/>
  <c r="W183" i="19"/>
  <c r="W83" i="19"/>
  <c r="T33" i="19"/>
  <c r="T133" i="19"/>
  <c r="Q33" i="19"/>
  <c r="Q133" i="19"/>
  <c r="N33" i="19"/>
  <c r="N83" i="19"/>
  <c r="N183" i="19"/>
  <c r="T233" i="19"/>
  <c r="K183" i="19"/>
  <c r="K83" i="19"/>
  <c r="N233" i="19"/>
  <c r="N133" i="19"/>
  <c r="W233" i="19"/>
  <c r="Q233" i="19"/>
  <c r="K133" i="19"/>
  <c r="K33" i="19"/>
  <c r="X184" i="19"/>
  <c r="X84" i="19"/>
  <c r="U34" i="19"/>
  <c r="U134" i="19"/>
  <c r="R34" i="19"/>
  <c r="U184" i="19"/>
  <c r="R134" i="19"/>
  <c r="O34" i="19"/>
  <c r="X134" i="19"/>
  <c r="X34" i="19"/>
  <c r="U84" i="19"/>
  <c r="R84" i="19"/>
  <c r="R184" i="19"/>
  <c r="O134" i="19"/>
  <c r="X234" i="19"/>
  <c r="R234" i="19"/>
  <c r="L134" i="19"/>
  <c r="L34" i="19"/>
  <c r="O84" i="19"/>
  <c r="O184" i="19"/>
  <c r="U234" i="19"/>
  <c r="L184" i="19"/>
  <c r="L84" i="19"/>
  <c r="O234" i="19"/>
  <c r="X188" i="19"/>
  <c r="X88" i="19"/>
  <c r="U38" i="19"/>
  <c r="U138" i="19"/>
  <c r="R38" i="19"/>
  <c r="X138" i="19"/>
  <c r="X38" i="19"/>
  <c r="R138" i="19"/>
  <c r="O38" i="19"/>
  <c r="U188" i="19"/>
  <c r="R88" i="19"/>
  <c r="R188" i="19"/>
  <c r="U88" i="19"/>
  <c r="O138" i="19"/>
  <c r="X238" i="19"/>
  <c r="R238" i="19"/>
  <c r="L138" i="19"/>
  <c r="O88" i="19"/>
  <c r="O188" i="19"/>
  <c r="U238" i="19"/>
  <c r="L188" i="19"/>
  <c r="L38" i="19"/>
  <c r="L88" i="19"/>
  <c r="O238" i="19"/>
  <c r="X113" i="19"/>
  <c r="X13" i="19"/>
  <c r="X163" i="19"/>
  <c r="X63" i="19"/>
  <c r="U13" i="19"/>
  <c r="U63" i="19"/>
  <c r="U113" i="19"/>
  <c r="U163" i="19"/>
  <c r="R13" i="19"/>
  <c r="R113" i="19"/>
  <c r="O13" i="19"/>
  <c r="O63" i="19"/>
  <c r="O163" i="19"/>
  <c r="U213" i="19"/>
  <c r="O113" i="19"/>
  <c r="X213" i="19"/>
  <c r="R213" i="19"/>
  <c r="L113" i="19"/>
  <c r="L13" i="19"/>
  <c r="R63" i="19"/>
  <c r="R163" i="19"/>
  <c r="L163" i="19"/>
  <c r="L63" i="19"/>
  <c r="O213" i="19"/>
  <c r="W116" i="19"/>
  <c r="W16" i="19"/>
  <c r="T66" i="19"/>
  <c r="T166" i="19"/>
  <c r="Q66" i="19"/>
  <c r="Q166" i="19"/>
  <c r="W166" i="19"/>
  <c r="W66" i="19"/>
  <c r="Q16" i="19"/>
  <c r="Q116" i="19"/>
  <c r="N16" i="19"/>
  <c r="N66" i="19"/>
  <c r="N166" i="19"/>
  <c r="T216" i="19"/>
  <c r="K166" i="19"/>
  <c r="T116" i="19"/>
  <c r="K66" i="19"/>
  <c r="N216" i="19"/>
  <c r="T16" i="19"/>
  <c r="N116" i="19"/>
  <c r="W216" i="19"/>
  <c r="Q216" i="19"/>
  <c r="K116" i="19"/>
  <c r="K16" i="19"/>
  <c r="W118" i="19"/>
  <c r="W18" i="19"/>
  <c r="T68" i="19"/>
  <c r="T168" i="19"/>
  <c r="T118" i="19"/>
  <c r="Q68" i="19"/>
  <c r="Q168" i="19"/>
  <c r="W168" i="19"/>
  <c r="W68" i="19"/>
  <c r="T18" i="19"/>
  <c r="Q18" i="19"/>
  <c r="Q118" i="19"/>
  <c r="N18" i="19"/>
  <c r="N68" i="19"/>
  <c r="N168" i="19"/>
  <c r="T218" i="19"/>
  <c r="K168" i="19"/>
  <c r="K68" i="19"/>
  <c r="N218" i="19"/>
  <c r="N118" i="19"/>
  <c r="W218" i="19"/>
  <c r="Q218" i="19"/>
  <c r="K118" i="19"/>
  <c r="K18" i="19"/>
  <c r="W121" i="19"/>
  <c r="W21" i="19"/>
  <c r="W171" i="19"/>
  <c r="W71" i="19"/>
  <c r="T21" i="19"/>
  <c r="T71" i="19"/>
  <c r="T171" i="19"/>
  <c r="Q21" i="19"/>
  <c r="Q121" i="19"/>
  <c r="N21" i="19"/>
  <c r="N71" i="19"/>
  <c r="N171" i="19"/>
  <c r="T221" i="19"/>
  <c r="T121" i="19"/>
  <c r="Q71" i="19"/>
  <c r="Q171" i="19"/>
  <c r="N121" i="19"/>
  <c r="W221" i="19"/>
  <c r="Q221" i="19"/>
  <c r="K121" i="19"/>
  <c r="K21" i="19"/>
  <c r="K171" i="19"/>
  <c r="K71" i="19"/>
  <c r="N221" i="19"/>
  <c r="W172" i="19"/>
  <c r="W72" i="19"/>
  <c r="T22" i="19"/>
  <c r="W122" i="19"/>
  <c r="W22" i="19"/>
  <c r="Q72" i="19"/>
  <c r="Q172" i="19"/>
  <c r="T72" i="19"/>
  <c r="T122" i="19"/>
  <c r="T172" i="19"/>
  <c r="N122" i="19"/>
  <c r="W222" i="19"/>
  <c r="Q222" i="19"/>
  <c r="N22" i="19"/>
  <c r="Q22" i="19"/>
  <c r="Q122" i="19"/>
  <c r="N72" i="19"/>
  <c r="N172" i="19"/>
  <c r="T222" i="19"/>
  <c r="K172" i="19"/>
  <c r="K72" i="19"/>
  <c r="N222" i="19"/>
  <c r="K122" i="19"/>
  <c r="K22" i="19"/>
  <c r="X173" i="19"/>
  <c r="X73" i="19"/>
  <c r="U23" i="19"/>
  <c r="U123" i="19"/>
  <c r="U73" i="19"/>
  <c r="U173" i="19"/>
  <c r="R23" i="19"/>
  <c r="R123" i="19"/>
  <c r="X123" i="19"/>
  <c r="X23" i="19"/>
  <c r="R73" i="19"/>
  <c r="R173" i="19"/>
  <c r="O23" i="19"/>
  <c r="O123" i="19"/>
  <c r="X223" i="19"/>
  <c r="R223" i="19"/>
  <c r="L173" i="19"/>
  <c r="L123" i="19"/>
  <c r="L23" i="19"/>
  <c r="O73" i="19"/>
  <c r="O173" i="19"/>
  <c r="U223" i="19"/>
  <c r="L73" i="19"/>
  <c r="O223" i="19"/>
  <c r="X175" i="19"/>
  <c r="X75" i="19"/>
  <c r="U25" i="19"/>
  <c r="U125" i="19"/>
  <c r="R25" i="19"/>
  <c r="X125" i="19"/>
  <c r="X25" i="19"/>
  <c r="R125" i="19"/>
  <c r="U75" i="19"/>
  <c r="U175" i="19"/>
  <c r="R75" i="19"/>
  <c r="R175" i="19"/>
  <c r="O125" i="19"/>
  <c r="X225" i="19"/>
  <c r="R225" i="19"/>
  <c r="O25" i="19"/>
  <c r="O75" i="19"/>
  <c r="O175" i="19"/>
  <c r="U225" i="19"/>
  <c r="L125" i="19"/>
  <c r="L25" i="19"/>
  <c r="L175" i="19"/>
  <c r="L75" i="19"/>
  <c r="O225" i="19"/>
  <c r="X127" i="19"/>
  <c r="X27" i="19"/>
  <c r="X177" i="19"/>
  <c r="X77" i="19"/>
  <c r="U27" i="19"/>
  <c r="R127" i="19"/>
  <c r="O27" i="19"/>
  <c r="U127" i="19"/>
  <c r="R27" i="19"/>
  <c r="O77" i="19"/>
  <c r="O177" i="19"/>
  <c r="U227" i="19"/>
  <c r="U77" i="19"/>
  <c r="U177" i="19"/>
  <c r="O127" i="19"/>
  <c r="X227" i="19"/>
  <c r="R227" i="19"/>
  <c r="L177" i="19"/>
  <c r="L127" i="19"/>
  <c r="L27" i="19"/>
  <c r="R77" i="19"/>
  <c r="R177" i="19"/>
  <c r="L77" i="19"/>
  <c r="O227" i="19"/>
  <c r="X130" i="19"/>
  <c r="X30" i="19"/>
  <c r="X180" i="19"/>
  <c r="X80" i="19"/>
  <c r="U30" i="19"/>
  <c r="U80" i="19"/>
  <c r="U180" i="19"/>
  <c r="R130" i="19"/>
  <c r="O30" i="19"/>
  <c r="O80" i="19"/>
  <c r="O180" i="19"/>
  <c r="U230" i="19"/>
  <c r="R80" i="19"/>
  <c r="R180" i="19"/>
  <c r="O130" i="19"/>
  <c r="X230" i="19"/>
  <c r="R230" i="19"/>
  <c r="L130" i="19"/>
  <c r="L30" i="19"/>
  <c r="U130" i="19"/>
  <c r="R30" i="19"/>
  <c r="L180" i="19"/>
  <c r="L80" i="19"/>
  <c r="O230" i="19"/>
  <c r="X162" i="19"/>
  <c r="X62" i="19"/>
  <c r="X112" i="19"/>
  <c r="X12" i="19"/>
  <c r="R62" i="19"/>
  <c r="R162" i="19"/>
  <c r="U12" i="19"/>
  <c r="U62" i="19"/>
  <c r="U162" i="19"/>
  <c r="O112" i="19"/>
  <c r="X212" i="19"/>
  <c r="R212" i="19"/>
  <c r="O12" i="19"/>
  <c r="O62" i="19"/>
  <c r="O162" i="19"/>
  <c r="U212" i="19"/>
  <c r="L162" i="19"/>
  <c r="L62" i="19"/>
  <c r="O212" i="19"/>
  <c r="U112" i="19"/>
  <c r="R12" i="19"/>
  <c r="R112" i="19"/>
  <c r="L112" i="19"/>
  <c r="L12" i="19"/>
  <c r="W113" i="19"/>
  <c r="W13" i="19"/>
  <c r="T63" i="19"/>
  <c r="T163" i="19"/>
  <c r="Q63" i="19"/>
  <c r="Q163" i="19"/>
  <c r="T13" i="19"/>
  <c r="T113" i="19"/>
  <c r="Q13" i="19"/>
  <c r="Q113" i="19"/>
  <c r="N13" i="19"/>
  <c r="N63" i="19"/>
  <c r="N163" i="19"/>
  <c r="T213" i="19"/>
  <c r="K163" i="19"/>
  <c r="W63" i="19"/>
  <c r="K63" i="19"/>
  <c r="N213" i="19"/>
  <c r="W163" i="19"/>
  <c r="K113" i="19"/>
  <c r="K13" i="19"/>
  <c r="N113" i="19"/>
  <c r="W213" i="19"/>
  <c r="Q213" i="19"/>
  <c r="X164" i="19"/>
  <c r="X64" i="19"/>
  <c r="U14" i="19"/>
  <c r="U114" i="19"/>
  <c r="U64" i="19"/>
  <c r="U164" i="19"/>
  <c r="R14" i="19"/>
  <c r="R114" i="19"/>
  <c r="X114" i="19"/>
  <c r="X14" i="19"/>
  <c r="R64" i="19"/>
  <c r="R164" i="19"/>
  <c r="O14" i="19"/>
  <c r="O114" i="19"/>
  <c r="X214" i="19"/>
  <c r="R214" i="19"/>
  <c r="L114" i="19"/>
  <c r="L14" i="19"/>
  <c r="L164" i="19"/>
  <c r="O64" i="19"/>
  <c r="O164" i="19"/>
  <c r="U214" i="19"/>
  <c r="L64" i="19"/>
  <c r="O214" i="19"/>
  <c r="W167" i="19"/>
  <c r="W67" i="19"/>
  <c r="T17" i="19"/>
  <c r="T117" i="19"/>
  <c r="Q17" i="19"/>
  <c r="Q117" i="19"/>
  <c r="W117" i="19"/>
  <c r="W17" i="19"/>
  <c r="T67" i="19"/>
  <c r="T167" i="19"/>
  <c r="Q67" i="19"/>
  <c r="Q167" i="19"/>
  <c r="N117" i="19"/>
  <c r="W217" i="19"/>
  <c r="Q217" i="19"/>
  <c r="N17" i="19"/>
  <c r="K117" i="19"/>
  <c r="K17" i="19"/>
  <c r="N67" i="19"/>
  <c r="N167" i="19"/>
  <c r="T217" i="19"/>
  <c r="K67" i="19"/>
  <c r="N217" i="19"/>
  <c r="K167" i="19"/>
  <c r="X171" i="19"/>
  <c r="X71" i="19"/>
  <c r="U21" i="19"/>
  <c r="U121" i="19"/>
  <c r="R21" i="19"/>
  <c r="R121" i="19"/>
  <c r="X121" i="19"/>
  <c r="X21" i="19"/>
  <c r="R71" i="19"/>
  <c r="R171" i="19"/>
  <c r="U71" i="19"/>
  <c r="U171" i="19"/>
  <c r="O121" i="19"/>
  <c r="X221" i="19"/>
  <c r="R221" i="19"/>
  <c r="O21" i="19"/>
  <c r="L121" i="19"/>
  <c r="L21" i="19"/>
  <c r="O71" i="19"/>
  <c r="O171" i="19"/>
  <c r="U221" i="19"/>
  <c r="L171" i="19"/>
  <c r="L71" i="19"/>
  <c r="O221" i="19"/>
  <c r="W123" i="19"/>
  <c r="W23" i="19"/>
  <c r="W173" i="19"/>
  <c r="W73" i="19"/>
  <c r="T23" i="19"/>
  <c r="T123" i="19"/>
  <c r="T73" i="19"/>
  <c r="T173" i="19"/>
  <c r="Q23" i="19"/>
  <c r="Q123" i="19"/>
  <c r="N23" i="19"/>
  <c r="N73" i="19"/>
  <c r="N173" i="19"/>
  <c r="T223" i="19"/>
  <c r="Q73" i="19"/>
  <c r="Q173" i="19"/>
  <c r="N123" i="19"/>
  <c r="W223" i="19"/>
  <c r="Q223" i="19"/>
  <c r="K173" i="19"/>
  <c r="K123" i="19"/>
  <c r="K23" i="19"/>
  <c r="K73" i="19"/>
  <c r="N223" i="19"/>
  <c r="W174" i="19"/>
  <c r="W74" i="19"/>
  <c r="T24" i="19"/>
  <c r="W124" i="19"/>
  <c r="W24" i="19"/>
  <c r="Q74" i="19"/>
  <c r="Q174" i="19"/>
  <c r="N124" i="19"/>
  <c r="W224" i="19"/>
  <c r="Q224" i="19"/>
  <c r="T124" i="19"/>
  <c r="Q24" i="19"/>
  <c r="Q124" i="19"/>
  <c r="N74" i="19"/>
  <c r="N174" i="19"/>
  <c r="T224" i="19"/>
  <c r="K174" i="19"/>
  <c r="N24" i="19"/>
  <c r="K74" i="19"/>
  <c r="N224" i="19"/>
  <c r="T74" i="19"/>
  <c r="T174" i="19"/>
  <c r="K124" i="19"/>
  <c r="K24" i="19"/>
  <c r="W176" i="19"/>
  <c r="W76" i="19"/>
  <c r="T26" i="19"/>
  <c r="W126" i="19"/>
  <c r="W26" i="19"/>
  <c r="T76" i="19"/>
  <c r="T126" i="19"/>
  <c r="T176" i="19"/>
  <c r="Q26" i="19"/>
  <c r="Q76" i="19"/>
  <c r="Q176" i="19"/>
  <c r="Q126" i="19"/>
  <c r="N126" i="19"/>
  <c r="W226" i="19"/>
  <c r="Q226" i="19"/>
  <c r="N26" i="19"/>
  <c r="N76" i="19"/>
  <c r="N176" i="19"/>
  <c r="T226" i="19"/>
  <c r="K176" i="19"/>
  <c r="K76" i="19"/>
  <c r="N226" i="19"/>
  <c r="K126" i="19"/>
  <c r="K26" i="19"/>
  <c r="W178" i="19"/>
  <c r="W78" i="19"/>
  <c r="T28" i="19"/>
  <c r="T128" i="19"/>
  <c r="Q28" i="19"/>
  <c r="Q128" i="19"/>
  <c r="T78" i="19"/>
  <c r="T178" i="19"/>
  <c r="Q78" i="19"/>
  <c r="Q178" i="19"/>
  <c r="W128" i="19"/>
  <c r="W28" i="19"/>
  <c r="N28" i="19"/>
  <c r="N128" i="19"/>
  <c r="W228" i="19"/>
  <c r="Q228" i="19"/>
  <c r="K178" i="19"/>
  <c r="K128" i="19"/>
  <c r="K28" i="19"/>
  <c r="K78" i="19"/>
  <c r="N228" i="19"/>
  <c r="N78" i="19"/>
  <c r="N178" i="19"/>
  <c r="T228" i="19"/>
  <c r="X185" i="19"/>
  <c r="X85" i="19"/>
  <c r="U35" i="19"/>
  <c r="X135" i="19"/>
  <c r="X35" i="19"/>
  <c r="U85" i="19"/>
  <c r="R85" i="19"/>
  <c r="R185" i="19"/>
  <c r="U185" i="19"/>
  <c r="O135" i="19"/>
  <c r="X235" i="19"/>
  <c r="R235" i="19"/>
  <c r="R135" i="19"/>
  <c r="O35" i="19"/>
  <c r="U135" i="19"/>
  <c r="R35" i="19"/>
  <c r="O85" i="19"/>
  <c r="O185" i="19"/>
  <c r="U235" i="19"/>
  <c r="L185" i="19"/>
  <c r="L85" i="19"/>
  <c r="O235" i="19"/>
  <c r="L135" i="19"/>
  <c r="L35" i="19"/>
  <c r="X136" i="19"/>
  <c r="X36" i="19"/>
  <c r="U86" i="19"/>
  <c r="U186" i="19"/>
  <c r="X186" i="19"/>
  <c r="X86" i="19"/>
  <c r="U36" i="19"/>
  <c r="R86" i="19"/>
  <c r="R186" i="19"/>
  <c r="U136" i="19"/>
  <c r="R36" i="19"/>
  <c r="R136" i="19"/>
  <c r="O36" i="19"/>
  <c r="O86" i="19"/>
  <c r="O186" i="19"/>
  <c r="U236" i="19"/>
  <c r="L186" i="19"/>
  <c r="O136" i="19"/>
  <c r="X236" i="19"/>
  <c r="R236" i="19"/>
  <c r="L86" i="19"/>
  <c r="O236" i="19"/>
  <c r="L136" i="19"/>
  <c r="L36" i="19"/>
  <c r="X137" i="19"/>
  <c r="X37" i="19"/>
  <c r="X187" i="19"/>
  <c r="X87" i="19"/>
  <c r="U37" i="19"/>
  <c r="U87" i="19"/>
  <c r="U137" i="19"/>
  <c r="R37" i="19"/>
  <c r="R137" i="19"/>
  <c r="O37" i="19"/>
  <c r="U187" i="19"/>
  <c r="R87" i="19"/>
  <c r="R187" i="19"/>
  <c r="O87" i="19"/>
  <c r="O187" i="19"/>
  <c r="U237" i="19"/>
  <c r="L187" i="19"/>
  <c r="O137" i="19"/>
  <c r="X237" i="19"/>
  <c r="R237" i="19"/>
  <c r="L137" i="19"/>
  <c r="L37" i="19"/>
  <c r="L87" i="19"/>
  <c r="O237" i="19"/>
  <c r="X189" i="19"/>
  <c r="X89" i="19"/>
  <c r="U39" i="19"/>
  <c r="X139" i="19"/>
  <c r="X39" i="19"/>
  <c r="U89" i="19"/>
  <c r="U139" i="19"/>
  <c r="U189" i="19"/>
  <c r="R39" i="19"/>
  <c r="R89" i="19"/>
  <c r="R189" i="19"/>
  <c r="O89" i="19"/>
  <c r="R139" i="19"/>
  <c r="O39" i="19"/>
  <c r="O139" i="19"/>
  <c r="X239" i="19"/>
  <c r="R239" i="19"/>
  <c r="O189" i="19"/>
  <c r="U239" i="19"/>
  <c r="L189" i="19"/>
  <c r="L139" i="19"/>
  <c r="L89" i="19"/>
  <c r="O239" i="19"/>
  <c r="L39" i="19"/>
  <c r="AF26" i="1"/>
  <c r="W162" i="19"/>
  <c r="W62" i="19"/>
  <c r="T12" i="19"/>
  <c r="T112" i="19"/>
  <c r="Q12" i="19"/>
  <c r="Q112" i="19"/>
  <c r="Q62" i="19"/>
  <c r="Q162" i="19"/>
  <c r="T62" i="19"/>
  <c r="T162" i="19"/>
  <c r="N112" i="19"/>
  <c r="W212" i="19"/>
  <c r="Q212" i="19"/>
  <c r="N12" i="19"/>
  <c r="K112" i="19"/>
  <c r="K12" i="19"/>
  <c r="W112" i="19"/>
  <c r="K62" i="19"/>
  <c r="N212" i="19"/>
  <c r="W12" i="19"/>
  <c r="N62" i="19"/>
  <c r="N162" i="19"/>
  <c r="T212" i="19"/>
  <c r="K162" i="19"/>
  <c r="X167" i="19"/>
  <c r="X67" i="19"/>
  <c r="X117" i="19"/>
  <c r="X17" i="19"/>
  <c r="U67" i="19"/>
  <c r="U167" i="19"/>
  <c r="U117" i="19"/>
  <c r="R67" i="19"/>
  <c r="R167" i="19"/>
  <c r="U17" i="19"/>
  <c r="O117" i="19"/>
  <c r="X217" i="19"/>
  <c r="R217" i="19"/>
  <c r="R17" i="19"/>
  <c r="R117" i="19"/>
  <c r="O17" i="19"/>
  <c r="O67" i="19"/>
  <c r="O167" i="19"/>
  <c r="U217" i="19"/>
  <c r="L167" i="19"/>
  <c r="L67" i="19"/>
  <c r="O217" i="19"/>
  <c r="L117" i="19"/>
  <c r="L17" i="19"/>
  <c r="X124" i="19"/>
  <c r="X24" i="19"/>
  <c r="U74" i="19"/>
  <c r="U174" i="19"/>
  <c r="X174" i="19"/>
  <c r="X74" i="19"/>
  <c r="U24" i="19"/>
  <c r="R74" i="19"/>
  <c r="R174" i="19"/>
  <c r="U124" i="19"/>
  <c r="R24" i="19"/>
  <c r="R124" i="19"/>
  <c r="O24" i="19"/>
  <c r="O74" i="19"/>
  <c r="O174" i="19"/>
  <c r="U224" i="19"/>
  <c r="L174" i="19"/>
  <c r="O124" i="19"/>
  <c r="X224" i="19"/>
  <c r="R224" i="19"/>
  <c r="L74" i="19"/>
  <c r="O224" i="19"/>
  <c r="L124" i="19"/>
  <c r="L24" i="19"/>
  <c r="X140" i="19"/>
  <c r="X40" i="19"/>
  <c r="U90" i="19"/>
  <c r="U190" i="19"/>
  <c r="R90" i="19"/>
  <c r="R190" i="19"/>
  <c r="O90" i="19"/>
  <c r="O190" i="19"/>
  <c r="U240" i="19"/>
  <c r="L190" i="19"/>
  <c r="L90" i="19"/>
  <c r="O240" i="19"/>
  <c r="X190" i="19"/>
  <c r="X90" i="19"/>
  <c r="U40" i="19"/>
  <c r="U140" i="19"/>
  <c r="R40" i="19"/>
  <c r="R140" i="19"/>
  <c r="O40" i="19"/>
  <c r="O140" i="19"/>
  <c r="X240" i="19"/>
  <c r="R240" i="19"/>
  <c r="L140" i="19"/>
  <c r="L40" i="19"/>
  <c r="W84" i="19"/>
  <c r="W134" i="19"/>
  <c r="W184" i="19"/>
  <c r="T34" i="19"/>
  <c r="Q34" i="19"/>
  <c r="N34" i="19"/>
  <c r="W234" i="19"/>
  <c r="K134" i="19"/>
  <c r="W34" i="19"/>
  <c r="T184" i="19"/>
  <c r="Q184" i="19"/>
  <c r="N184" i="19"/>
  <c r="K184" i="19"/>
  <c r="N234" i="19"/>
  <c r="T134" i="19"/>
  <c r="Q134" i="19"/>
  <c r="N134" i="19"/>
  <c r="Q234" i="19"/>
  <c r="K34" i="19"/>
  <c r="T84" i="19"/>
  <c r="Q84" i="19"/>
  <c r="N84" i="19"/>
  <c r="T234" i="19"/>
  <c r="K84" i="19"/>
  <c r="X195" i="19"/>
  <c r="U45" i="19"/>
  <c r="R45" i="19"/>
  <c r="O45" i="19"/>
  <c r="X245" i="19"/>
  <c r="L145" i="19"/>
  <c r="L245" i="19"/>
  <c r="X45" i="19"/>
  <c r="U195" i="19"/>
  <c r="R195" i="19"/>
  <c r="O195" i="19"/>
  <c r="L195" i="19"/>
  <c r="O245" i="19"/>
  <c r="X95" i="19"/>
  <c r="U145" i="19"/>
  <c r="R145" i="19"/>
  <c r="O145" i="19"/>
  <c r="R245" i="19"/>
  <c r="L45" i="19"/>
  <c r="X145" i="19"/>
  <c r="U95" i="19"/>
  <c r="R95" i="19"/>
  <c r="O95" i="19"/>
  <c r="U245" i="19"/>
  <c r="L95" i="19"/>
  <c r="W145" i="19"/>
  <c r="T95" i="19"/>
  <c r="Q95" i="19"/>
  <c r="N95" i="19"/>
  <c r="T245" i="19"/>
  <c r="K95" i="19"/>
  <c r="W195" i="19"/>
  <c r="T45" i="19"/>
  <c r="Q45" i="19"/>
  <c r="N45" i="19"/>
  <c r="W245" i="19"/>
  <c r="K145" i="19"/>
  <c r="K245" i="19"/>
  <c r="W45" i="19"/>
  <c r="T195" i="19"/>
  <c r="Q195" i="19"/>
  <c r="N195" i="19"/>
  <c r="K195" i="19"/>
  <c r="N245" i="19"/>
  <c r="W95" i="19"/>
  <c r="T145" i="19"/>
  <c r="Q145" i="19"/>
  <c r="N145" i="19"/>
  <c r="Q245" i="19"/>
  <c r="K45" i="19"/>
  <c r="U144" i="19"/>
  <c r="R44" i="19"/>
  <c r="O44" i="19"/>
  <c r="L144" i="19"/>
  <c r="L44" i="19"/>
  <c r="X144" i="19"/>
  <c r="X44" i="19"/>
  <c r="U94" i="19"/>
  <c r="U194" i="19"/>
  <c r="R94" i="19"/>
  <c r="R194" i="19"/>
  <c r="O94" i="19"/>
  <c r="O194" i="19"/>
  <c r="U244" i="19"/>
  <c r="L194" i="19"/>
  <c r="L94" i="19"/>
  <c r="O244" i="19"/>
  <c r="X194" i="19"/>
  <c r="X94" i="19"/>
  <c r="U44" i="19"/>
  <c r="R144" i="19"/>
  <c r="O144" i="19"/>
  <c r="X244" i="19"/>
  <c r="R244" i="19"/>
  <c r="W194" i="19"/>
  <c r="W94" i="19"/>
  <c r="T44" i="19"/>
  <c r="T144" i="19"/>
  <c r="Q44" i="19"/>
  <c r="Q144" i="19"/>
  <c r="N44" i="19"/>
  <c r="N144" i="19"/>
  <c r="W244" i="19"/>
  <c r="Q244" i="19"/>
  <c r="K144" i="19"/>
  <c r="K44" i="19"/>
  <c r="K194" i="19"/>
  <c r="N244" i="19"/>
  <c r="K94" i="19"/>
  <c r="W144" i="19"/>
  <c r="W44" i="19"/>
  <c r="T94" i="19"/>
  <c r="T194" i="19"/>
  <c r="Q94" i="19"/>
  <c r="Q194" i="19"/>
  <c r="N94" i="19"/>
  <c r="N194" i="19"/>
  <c r="T244" i="19"/>
  <c r="X93" i="19"/>
  <c r="U143" i="19"/>
  <c r="R143" i="19"/>
  <c r="O143" i="19"/>
  <c r="R243" i="19"/>
  <c r="L43" i="19"/>
  <c r="X43" i="19"/>
  <c r="U193" i="19"/>
  <c r="R193" i="19"/>
  <c r="O193" i="19"/>
  <c r="L193" i="19"/>
  <c r="O243" i="19"/>
  <c r="X143" i="19"/>
  <c r="U93" i="19"/>
  <c r="X193" i="19"/>
  <c r="U43" i="19"/>
  <c r="R43" i="19"/>
  <c r="O43" i="19"/>
  <c r="X243" i="19"/>
  <c r="L143" i="19"/>
  <c r="R93" i="19"/>
  <c r="O93" i="19"/>
  <c r="U243" i="19"/>
  <c r="L93" i="19"/>
  <c r="W143" i="19"/>
  <c r="T93" i="19"/>
  <c r="Q93" i="19"/>
  <c r="N93" i="19"/>
  <c r="T243" i="19"/>
  <c r="K93" i="19"/>
  <c r="W93" i="19"/>
  <c r="T143" i="19"/>
  <c r="Q143" i="19"/>
  <c r="N143" i="19"/>
  <c r="Q243" i="19"/>
  <c r="K43" i="19"/>
  <c r="W193" i="19"/>
  <c r="T43" i="19"/>
  <c r="Q43" i="19"/>
  <c r="W243" i="19"/>
  <c r="W43" i="19"/>
  <c r="T193" i="19"/>
  <c r="Q193" i="19"/>
  <c r="N193" i="19"/>
  <c r="K193" i="19"/>
  <c r="N243" i="19"/>
  <c r="N43" i="19"/>
  <c r="K143" i="19"/>
  <c r="W142" i="19"/>
  <c r="T42" i="19"/>
  <c r="T192" i="19"/>
  <c r="Q142" i="19"/>
  <c r="W242" i="19"/>
  <c r="Q242" i="19"/>
  <c r="W192" i="19"/>
  <c r="W92" i="19"/>
  <c r="W42" i="19"/>
  <c r="T92" i="19"/>
  <c r="T142" i="19"/>
  <c r="Q42" i="19"/>
  <c r="Q92" i="19"/>
  <c r="Q192" i="19"/>
  <c r="N42" i="19"/>
  <c r="N92" i="19"/>
  <c r="N142" i="19"/>
  <c r="N192" i="19"/>
  <c r="T242" i="19"/>
  <c r="K192" i="19"/>
  <c r="K142" i="19"/>
  <c r="K92" i="19"/>
  <c r="K42" i="19"/>
  <c r="N242" i="19"/>
  <c r="X192" i="19"/>
  <c r="X142" i="19"/>
  <c r="X92" i="19"/>
  <c r="X42" i="19"/>
  <c r="U42" i="19"/>
  <c r="U92" i="19"/>
  <c r="U142" i="19"/>
  <c r="U192" i="19"/>
  <c r="R42" i="19"/>
  <c r="R92" i="19"/>
  <c r="R142" i="19"/>
  <c r="R192" i="19"/>
  <c r="O42" i="19"/>
  <c r="O92" i="19"/>
  <c r="O142" i="19"/>
  <c r="O192" i="19"/>
  <c r="X242" i="19"/>
  <c r="U242" i="19"/>
  <c r="R242" i="19"/>
  <c r="L192" i="19"/>
  <c r="L142" i="19"/>
  <c r="L92" i="19"/>
  <c r="L42" i="19"/>
  <c r="O242" i="19"/>
  <c r="W141" i="19"/>
  <c r="T91" i="19"/>
  <c r="Q91" i="19"/>
  <c r="N91" i="19"/>
  <c r="T241" i="19"/>
  <c r="K91" i="19"/>
  <c r="W41" i="19"/>
  <c r="T191" i="19"/>
  <c r="Q191" i="19"/>
  <c r="K191" i="19"/>
  <c r="W91" i="19"/>
  <c r="N141" i="19"/>
  <c r="Q241" i="19"/>
  <c r="W191" i="19"/>
  <c r="T41" i="19"/>
  <c r="Q41" i="19"/>
  <c r="N41" i="19"/>
  <c r="W241" i="19"/>
  <c r="K141" i="19"/>
  <c r="N191" i="19"/>
  <c r="N241" i="19"/>
  <c r="T141" i="19"/>
  <c r="Q141" i="19"/>
  <c r="K41" i="19"/>
  <c r="X191" i="19"/>
  <c r="U41" i="19"/>
  <c r="R41" i="19"/>
  <c r="O41" i="19"/>
  <c r="X241" i="19"/>
  <c r="L141" i="19"/>
  <c r="X91" i="19"/>
  <c r="L41" i="19"/>
  <c r="U91" i="19"/>
  <c r="R91" i="19"/>
  <c r="U241" i="19"/>
  <c r="L91" i="19"/>
  <c r="X41" i="19"/>
  <c r="U191" i="19"/>
  <c r="R191" i="19"/>
  <c r="O191" i="19"/>
  <c r="L191" i="19"/>
  <c r="O241" i="19"/>
  <c r="U141" i="19"/>
  <c r="R141" i="19"/>
  <c r="O141" i="19"/>
  <c r="R241" i="19"/>
  <c r="X141" i="19"/>
  <c r="O91" i="19"/>
  <c r="W190" i="19"/>
  <c r="W140" i="19"/>
  <c r="W90" i="19"/>
  <c r="W40" i="19"/>
  <c r="T40" i="19"/>
  <c r="T90" i="19"/>
  <c r="T140" i="19"/>
  <c r="T190" i="19"/>
  <c r="Q40" i="19"/>
  <c r="Q90" i="19"/>
  <c r="Q140" i="19"/>
  <c r="Q190" i="19"/>
  <c r="N40" i="19"/>
  <c r="N90" i="19"/>
  <c r="N140" i="19"/>
  <c r="N190" i="19"/>
  <c r="W240" i="19"/>
  <c r="T240" i="19"/>
  <c r="Q240" i="19"/>
  <c r="K190" i="19"/>
  <c r="K140" i="19"/>
  <c r="K90" i="19"/>
  <c r="K40" i="19"/>
  <c r="N240" i="19"/>
  <c r="W189" i="19"/>
  <c r="T39" i="19"/>
  <c r="T139" i="19"/>
  <c r="Q139" i="19"/>
  <c r="N139" i="19"/>
  <c r="W239" i="19"/>
  <c r="Q239" i="19"/>
  <c r="K139" i="19"/>
  <c r="W139" i="19"/>
  <c r="W39" i="19"/>
  <c r="T89" i="19"/>
  <c r="T189" i="19"/>
  <c r="Q89" i="19"/>
  <c r="Q189" i="19"/>
  <c r="N89" i="19"/>
  <c r="N189" i="19"/>
  <c r="T239" i="19"/>
  <c r="K189" i="19"/>
  <c r="K89" i="19"/>
  <c r="N239" i="19"/>
  <c r="W89" i="19"/>
  <c r="Q39" i="19"/>
  <c r="N39" i="19"/>
  <c r="K39" i="19"/>
  <c r="W138" i="19"/>
  <c r="W188" i="19"/>
  <c r="W88" i="19"/>
  <c r="W38" i="19"/>
  <c r="T38" i="19"/>
  <c r="T88" i="19"/>
  <c r="T138" i="19"/>
  <c r="T188" i="19"/>
  <c r="Q38" i="19"/>
  <c r="Q88" i="19"/>
  <c r="Q138" i="19"/>
  <c r="Q188" i="19"/>
  <c r="N38" i="19"/>
  <c r="N88" i="19"/>
  <c r="N138" i="19"/>
  <c r="N188" i="19"/>
  <c r="W238" i="19"/>
  <c r="T238" i="19"/>
  <c r="Q238" i="19"/>
  <c r="K188" i="19"/>
  <c r="K138" i="19"/>
  <c r="K88" i="19"/>
  <c r="K38" i="19"/>
  <c r="N238" i="19"/>
  <c r="W137" i="19"/>
  <c r="T187" i="19"/>
  <c r="Q187" i="19"/>
  <c r="N187" i="19"/>
  <c r="K187" i="19"/>
  <c r="K87" i="19"/>
  <c r="W187" i="19"/>
  <c r="W87" i="19"/>
  <c r="T37" i="19"/>
  <c r="T137" i="19"/>
  <c r="Q37" i="19"/>
  <c r="Q137" i="19"/>
  <c r="N37" i="19"/>
  <c r="N137" i="19"/>
  <c r="W237" i="19"/>
  <c r="Q237" i="19"/>
  <c r="K137" i="19"/>
  <c r="K37" i="19"/>
  <c r="W37" i="19"/>
  <c r="T87" i="19"/>
  <c r="Q87" i="19"/>
  <c r="N87" i="19"/>
  <c r="T237" i="19"/>
  <c r="N237" i="19"/>
  <c r="W186" i="19"/>
  <c r="W136" i="19"/>
  <c r="W86" i="19"/>
  <c r="W36" i="19"/>
  <c r="T36" i="19"/>
  <c r="T86" i="19"/>
  <c r="T136" i="19"/>
  <c r="T186" i="19"/>
  <c r="Q36" i="19"/>
  <c r="Q86" i="19"/>
  <c r="Q136" i="19"/>
  <c r="Q186" i="19"/>
  <c r="N36" i="19"/>
  <c r="N86" i="19"/>
  <c r="N136" i="19"/>
  <c r="N186" i="19"/>
  <c r="W236" i="19"/>
  <c r="T236" i="19"/>
  <c r="Q236" i="19"/>
  <c r="K186" i="19"/>
  <c r="K136" i="19"/>
  <c r="K86" i="19"/>
  <c r="K36" i="19"/>
  <c r="N236" i="19"/>
  <c r="W185" i="19"/>
  <c r="Q35" i="19"/>
  <c r="Q235" i="19"/>
  <c r="K35" i="19"/>
  <c r="W135" i="19"/>
  <c r="W35" i="19"/>
  <c r="T85" i="19"/>
  <c r="T185" i="19"/>
  <c r="Q85" i="19"/>
  <c r="Q185" i="19"/>
  <c r="N85" i="19"/>
  <c r="N185" i="19"/>
  <c r="T235" i="19"/>
  <c r="K185" i="19"/>
  <c r="K85" i="19"/>
  <c r="N235" i="19"/>
  <c r="W85" i="19"/>
  <c r="T35" i="19"/>
  <c r="T135" i="19"/>
  <c r="Q135" i="19"/>
  <c r="N35" i="19"/>
  <c r="N135" i="19"/>
  <c r="W235" i="19"/>
  <c r="K135" i="19"/>
  <c r="W182" i="19"/>
  <c r="W82" i="19"/>
  <c r="T32" i="19"/>
  <c r="T132" i="19"/>
  <c r="Q32" i="19"/>
  <c r="Q132" i="19"/>
  <c r="N32" i="19"/>
  <c r="N132" i="19"/>
  <c r="W232" i="19"/>
  <c r="Q232" i="19"/>
  <c r="K132" i="19"/>
  <c r="K32" i="19"/>
  <c r="W132" i="19"/>
  <c r="W32" i="19"/>
  <c r="T182" i="19"/>
  <c r="Q82" i="19"/>
  <c r="Q182" i="19"/>
  <c r="N82" i="19"/>
  <c r="N182" i="19"/>
  <c r="T232" i="19"/>
  <c r="K182" i="19"/>
  <c r="K82" i="19"/>
  <c r="N232" i="19"/>
  <c r="T82" i="19"/>
  <c r="X131" i="19"/>
  <c r="U81" i="19"/>
  <c r="R81" i="19"/>
  <c r="O81" i="19"/>
  <c r="U231" i="19"/>
  <c r="L81" i="19"/>
  <c r="X181" i="19"/>
  <c r="U31" i="19"/>
  <c r="R31" i="19"/>
  <c r="O31" i="19"/>
  <c r="X231" i="19"/>
  <c r="L131" i="19"/>
  <c r="X31" i="19"/>
  <c r="U181" i="19"/>
  <c r="R181" i="19"/>
  <c r="O181" i="19"/>
  <c r="L181" i="19"/>
  <c r="O231" i="19"/>
  <c r="X81" i="19"/>
  <c r="U131" i="19"/>
  <c r="R131" i="19"/>
  <c r="O131" i="19"/>
  <c r="R231" i="19"/>
  <c r="L31" i="19"/>
  <c r="X179" i="19"/>
  <c r="U29" i="19"/>
  <c r="R29" i="19"/>
  <c r="O29" i="19"/>
  <c r="X229" i="19"/>
  <c r="L129" i="19"/>
  <c r="X79" i="19"/>
  <c r="U129" i="19"/>
  <c r="R129" i="19"/>
  <c r="X129" i="19"/>
  <c r="U79" i="19"/>
  <c r="L79" i="19"/>
  <c r="X29" i="19"/>
  <c r="U179" i="19"/>
  <c r="R179" i="19"/>
  <c r="O179" i="19"/>
  <c r="L179" i="19"/>
  <c r="O229" i="19"/>
  <c r="O129" i="19"/>
  <c r="R229" i="19"/>
  <c r="L29" i="19"/>
  <c r="R79" i="19"/>
  <c r="O79" i="19"/>
  <c r="U229" i="19"/>
  <c r="W179" i="19"/>
  <c r="W129" i="19"/>
  <c r="W79" i="19"/>
  <c r="W29" i="19"/>
  <c r="T29" i="19"/>
  <c r="T79" i="19"/>
  <c r="T129" i="19"/>
  <c r="T179" i="19"/>
  <c r="Q29" i="19"/>
  <c r="Q79" i="19"/>
  <c r="Q129" i="19"/>
  <c r="Q179" i="19"/>
  <c r="N29" i="19"/>
  <c r="N79" i="19"/>
  <c r="N129" i="19"/>
  <c r="N179" i="19"/>
  <c r="W229" i="19"/>
  <c r="T229" i="19"/>
  <c r="Q229" i="19"/>
  <c r="K179" i="19"/>
  <c r="K129" i="19"/>
  <c r="K79" i="19"/>
  <c r="K29" i="19"/>
  <c r="N229" i="19"/>
  <c r="W27" i="19"/>
  <c r="T177" i="19"/>
  <c r="Q177" i="19"/>
  <c r="N177" i="19"/>
  <c r="K177" i="19"/>
  <c r="N227" i="19"/>
  <c r="W77" i="19"/>
  <c r="T127" i="19"/>
  <c r="Q127" i="19"/>
  <c r="N127" i="19"/>
  <c r="Q227" i="19"/>
  <c r="K27" i="19"/>
  <c r="W127" i="19"/>
  <c r="T77" i="19"/>
  <c r="Q77" i="19"/>
  <c r="N77" i="19"/>
  <c r="T227" i="19"/>
  <c r="K77" i="19"/>
  <c r="T27" i="19"/>
  <c r="Q27" i="19"/>
  <c r="N27" i="19"/>
  <c r="W177" i="19"/>
  <c r="W227" i="19"/>
  <c r="K127" i="19"/>
  <c r="W170" i="19"/>
  <c r="W20" i="19"/>
  <c r="W70" i="19"/>
  <c r="T120" i="19"/>
  <c r="Q120" i="19"/>
  <c r="N120" i="19"/>
  <c r="Q220" i="19"/>
  <c r="K20" i="19"/>
  <c r="K120" i="19"/>
  <c r="Q170" i="19"/>
  <c r="W120" i="19"/>
  <c r="T70" i="19"/>
  <c r="Q70" i="19"/>
  <c r="N70" i="19"/>
  <c r="T220" i="19"/>
  <c r="K70" i="19"/>
  <c r="T20" i="19"/>
  <c r="Q20" i="19"/>
  <c r="N20" i="19"/>
  <c r="W220" i="19"/>
  <c r="T170" i="19"/>
  <c r="N170" i="19"/>
  <c r="K170" i="19"/>
  <c r="N220" i="19"/>
  <c r="W115" i="19"/>
  <c r="T65" i="19"/>
  <c r="Q65" i="19"/>
  <c r="N65" i="19"/>
  <c r="T215" i="19"/>
  <c r="K65" i="19"/>
  <c r="W65" i="19"/>
  <c r="T115" i="19"/>
  <c r="Q115" i="19"/>
  <c r="N115" i="19"/>
  <c r="Q215" i="19"/>
  <c r="K15" i="19"/>
  <c r="W15" i="19"/>
  <c r="T165" i="19"/>
  <c r="Q165" i="19"/>
  <c r="N165" i="19"/>
  <c r="K165" i="19"/>
  <c r="N215" i="19"/>
  <c r="W165" i="19"/>
  <c r="T15" i="19"/>
  <c r="Q15" i="19"/>
  <c r="N15" i="19"/>
  <c r="W215" i="19"/>
  <c r="K115" i="19"/>
  <c r="W64" i="19"/>
  <c r="T114" i="19"/>
  <c r="Q114" i="19"/>
  <c r="N114" i="19"/>
  <c r="Q214" i="19"/>
  <c r="K14" i="19"/>
  <c r="W114" i="19"/>
  <c r="T64" i="19"/>
  <c r="Q64" i="19"/>
  <c r="N64" i="19"/>
  <c r="T214" i="19"/>
  <c r="K64" i="19"/>
  <c r="N164" i="19"/>
  <c r="K164" i="19"/>
  <c r="W164" i="19"/>
  <c r="T14" i="19"/>
  <c r="Q14" i="19"/>
  <c r="N14" i="19"/>
  <c r="W214" i="19"/>
  <c r="K114" i="19"/>
  <c r="W14" i="19"/>
  <c r="T164" i="19"/>
  <c r="Q164" i="19"/>
  <c r="N214" i="19"/>
  <c r="K212" i="19"/>
  <c r="L219" i="19"/>
  <c r="AF32" i="1"/>
  <c r="K214" i="19"/>
  <c r="L220" i="19"/>
  <c r="AF71" i="1"/>
  <c r="K228" i="19"/>
  <c r="AF90" i="1"/>
  <c r="L234" i="19"/>
  <c r="AF110" i="1"/>
  <c r="K241" i="19"/>
  <c r="AF29" i="1"/>
  <c r="K213" i="19"/>
  <c r="AF41" i="1"/>
  <c r="K217" i="19"/>
  <c r="AF45" i="1"/>
  <c r="L218" i="19"/>
  <c r="AF50" i="1"/>
  <c r="K221" i="19"/>
  <c r="AF54" i="1"/>
  <c r="L222" i="19"/>
  <c r="AF60" i="1"/>
  <c r="L224" i="19"/>
  <c r="AF66" i="1"/>
  <c r="L226" i="19"/>
  <c r="AF72" i="1"/>
  <c r="L228" i="19"/>
  <c r="AF77" i="1"/>
  <c r="K230" i="19"/>
  <c r="AF81" i="1"/>
  <c r="L231" i="19"/>
  <c r="AF87" i="1"/>
  <c r="L233" i="19"/>
  <c r="AF92" i="1"/>
  <c r="K235" i="19"/>
  <c r="AF101" i="1"/>
  <c r="K238" i="19"/>
  <c r="AF107" i="1"/>
  <c r="K240" i="19"/>
  <c r="AF117" i="1"/>
  <c r="L243" i="19"/>
  <c r="AF120" i="1"/>
  <c r="L244" i="19"/>
  <c r="AF36" i="1"/>
  <c r="L215" i="19"/>
  <c r="AF59" i="1"/>
  <c r="K224" i="19"/>
  <c r="AF86" i="1"/>
  <c r="K233" i="19"/>
  <c r="AF105" i="1"/>
  <c r="L239" i="19"/>
  <c r="AF33" i="1"/>
  <c r="L214" i="19"/>
  <c r="AF96" i="1"/>
  <c r="L236" i="19"/>
  <c r="AF62" i="1"/>
  <c r="K225" i="19"/>
  <c r="AF89" i="1"/>
  <c r="K234" i="19"/>
  <c r="AF93" i="1"/>
  <c r="L235" i="19"/>
  <c r="AF102" i="1"/>
  <c r="L238" i="19"/>
  <c r="AF114" i="1"/>
  <c r="L242" i="19"/>
  <c r="AF44" i="1"/>
  <c r="K218" i="19"/>
  <c r="AF75" i="1"/>
  <c r="L229" i="19"/>
  <c r="AF108" i="1"/>
  <c r="L240" i="19"/>
  <c r="AF38" i="1"/>
  <c r="K216" i="19"/>
  <c r="AF42" i="1"/>
  <c r="L217" i="19"/>
  <c r="AF51" i="1"/>
  <c r="L221" i="19"/>
  <c r="AF56" i="1"/>
  <c r="K223" i="19"/>
  <c r="AF68" i="1"/>
  <c r="K227" i="19"/>
  <c r="AF83" i="1"/>
  <c r="K232" i="19"/>
  <c r="AF122" i="1"/>
  <c r="AF65" i="1"/>
  <c r="K226" i="19"/>
  <c r="AF80" i="1"/>
  <c r="K231" i="19"/>
  <c r="AF99" i="1"/>
  <c r="L237" i="19"/>
  <c r="AF119" i="1"/>
  <c r="K244" i="19"/>
  <c r="AF30" i="1"/>
  <c r="L213" i="19"/>
  <c r="AF27" i="1"/>
  <c r="L212" i="19"/>
  <c r="AF35" i="1"/>
  <c r="K215" i="19"/>
  <c r="AF39" i="1"/>
  <c r="L216" i="19"/>
  <c r="K219" i="19"/>
  <c r="AF47" i="1"/>
  <c r="K220" i="19"/>
  <c r="AF53" i="1"/>
  <c r="K222" i="19"/>
  <c r="AF57" i="1"/>
  <c r="L223" i="19"/>
  <c r="AF63" i="1"/>
  <c r="L225" i="19"/>
  <c r="AF69" i="1"/>
  <c r="L227" i="19"/>
  <c r="AF74" i="1"/>
  <c r="K229" i="19"/>
  <c r="AF78" i="1"/>
  <c r="L230" i="19"/>
  <c r="AF84" i="1"/>
  <c r="L232" i="19"/>
  <c r="AF95" i="1"/>
  <c r="K236" i="19"/>
  <c r="AF98" i="1"/>
  <c r="K237" i="19"/>
  <c r="AF104" i="1"/>
  <c r="K239" i="19"/>
  <c r="AF123" i="1"/>
  <c r="AF111" i="1"/>
  <c r="L241" i="19"/>
  <c r="AF113" i="1"/>
  <c r="K242" i="19"/>
  <c r="AF116" i="1"/>
  <c r="K243" i="19"/>
  <c r="AF48" i="1"/>
  <c r="AA52" i="1"/>
  <c r="AA61" i="1"/>
  <c r="AA64" i="1"/>
  <c r="AA67" i="1"/>
  <c r="AA70" i="1"/>
  <c r="AA79" i="1"/>
  <c r="AA82" i="1"/>
  <c r="AA85" i="1"/>
  <c r="AA103" i="1"/>
  <c r="AC85" i="1" l="1"/>
  <c r="AB85" i="1"/>
  <c r="AC61" i="1"/>
  <c r="AB61" i="1"/>
  <c r="AC64" i="1"/>
  <c r="AB64" i="1"/>
  <c r="AC82" i="1"/>
  <c r="AB82" i="1"/>
  <c r="AC70" i="1"/>
  <c r="AB70" i="1"/>
  <c r="AC88" i="1"/>
  <c r="AB88" i="1"/>
  <c r="AC52" i="1"/>
  <c r="AB52" i="1"/>
  <c r="AC103" i="1"/>
  <c r="AB103" i="1"/>
  <c r="AC79" i="1"/>
  <c r="AB79" i="1"/>
  <c r="AC67" i="1"/>
  <c r="AB67" i="1"/>
  <c r="AA94" i="1"/>
  <c r="AA58" i="1"/>
  <c r="AA22" i="1"/>
  <c r="AA19" i="1"/>
  <c r="W7" i="1"/>
  <c r="K7" i="1"/>
  <c r="AA17" i="1" l="1"/>
  <c r="AA18" i="1"/>
  <c r="AC22" i="1"/>
  <c r="AB22" i="1"/>
  <c r="AC58" i="1"/>
  <c r="AB58" i="1"/>
  <c r="AC19" i="1"/>
  <c r="AB19" i="1"/>
  <c r="AA12" i="1"/>
  <c r="AA11" i="1"/>
  <c r="AC94" i="1"/>
  <c r="AB94" i="1"/>
  <c r="L7" i="1"/>
  <c r="AA25" i="1"/>
  <c r="F221" i="13"/>
  <c r="F211" i="13"/>
  <c r="F212" i="13"/>
  <c r="F213" i="13"/>
  <c r="F214" i="13"/>
  <c r="F215" i="13"/>
  <c r="F216" i="13"/>
  <c r="F217" i="13"/>
  <c r="F218" i="13"/>
  <c r="F219" i="13"/>
  <c r="F220" i="13"/>
  <c r="F210" i="13"/>
  <c r="B221" i="13" a="1"/>
  <c r="AA14" i="1" l="1"/>
  <c r="AA15" i="1"/>
  <c r="AC25" i="1"/>
  <c r="AB25" i="1"/>
  <c r="AB11" i="1"/>
  <c r="AC11" i="1"/>
  <c r="AB18" i="1"/>
  <c r="AC18" i="1"/>
  <c r="AB12" i="1"/>
  <c r="AC12" i="1"/>
  <c r="AB17" i="1"/>
  <c r="AC17" i="1"/>
  <c r="AA8" i="1"/>
  <c r="AA9" i="1"/>
  <c r="AA7" i="1"/>
  <c r="B221" i="13"/>
  <c r="N148" i="1" l="1"/>
  <c r="O148" i="1" s="1"/>
  <c r="N136" i="1"/>
  <c r="O136" i="1" s="1"/>
  <c r="N124" i="1"/>
  <c r="O124" i="1" s="1"/>
  <c r="N145" i="1"/>
  <c r="O145" i="1" s="1"/>
  <c r="N139" i="1"/>
  <c r="O139" i="1" s="1"/>
  <c r="N133" i="1"/>
  <c r="O133" i="1" s="1"/>
  <c r="N130" i="1"/>
  <c r="O130" i="1" s="1"/>
  <c r="N127" i="1"/>
  <c r="O127" i="1" s="1"/>
  <c r="N151" i="1"/>
  <c r="O151" i="1" s="1"/>
  <c r="N142" i="1"/>
  <c r="O142" i="1" s="1"/>
  <c r="N91" i="1"/>
  <c r="O91" i="1" s="1"/>
  <c r="N79" i="1"/>
  <c r="O79" i="1" s="1"/>
  <c r="N67" i="1"/>
  <c r="O67" i="1" s="1"/>
  <c r="N55" i="1"/>
  <c r="O55" i="1" s="1"/>
  <c r="N34" i="1"/>
  <c r="O34" i="1" s="1"/>
  <c r="N22" i="1"/>
  <c r="O22" i="1" s="1"/>
  <c r="N10" i="1"/>
  <c r="O10" i="1" s="1"/>
  <c r="N103" i="1"/>
  <c r="O103" i="1" s="1"/>
  <c r="N19" i="1"/>
  <c r="O19" i="1" s="1"/>
  <c r="N100" i="1"/>
  <c r="O100" i="1" s="1"/>
  <c r="N88" i="1"/>
  <c r="O88" i="1" s="1"/>
  <c r="N76" i="1"/>
  <c r="O76" i="1" s="1"/>
  <c r="N64" i="1"/>
  <c r="O64" i="1" s="1"/>
  <c r="N52" i="1"/>
  <c r="O52" i="1" s="1"/>
  <c r="N43" i="1"/>
  <c r="O43" i="1" s="1"/>
  <c r="N31" i="1"/>
  <c r="O31" i="1" s="1"/>
  <c r="N118" i="1"/>
  <c r="O118" i="1" s="1"/>
  <c r="N115" i="1"/>
  <c r="O115" i="1" s="1"/>
  <c r="N112" i="1"/>
  <c r="O112" i="1" s="1"/>
  <c r="N109" i="1"/>
  <c r="O109" i="1" s="1"/>
  <c r="N106" i="1"/>
  <c r="O106" i="1" s="1"/>
  <c r="N97" i="1"/>
  <c r="O97" i="1" s="1"/>
  <c r="N85" i="1"/>
  <c r="O85" i="1" s="1"/>
  <c r="N73" i="1"/>
  <c r="O73" i="1" s="1"/>
  <c r="N61" i="1"/>
  <c r="O61" i="1" s="1"/>
  <c r="N49" i="1"/>
  <c r="O49" i="1" s="1"/>
  <c r="N40" i="1"/>
  <c r="O40" i="1" s="1"/>
  <c r="N28" i="1"/>
  <c r="O28" i="1" s="1"/>
  <c r="N16" i="1"/>
  <c r="O16" i="1" s="1"/>
  <c r="N58" i="1"/>
  <c r="O58" i="1" s="1"/>
  <c r="N94" i="1"/>
  <c r="O94" i="1" s="1"/>
  <c r="N37" i="1"/>
  <c r="O37" i="1" s="1"/>
  <c r="N70" i="1"/>
  <c r="O70" i="1" s="1"/>
  <c r="N121" i="1"/>
  <c r="O121" i="1" s="1"/>
  <c r="N13" i="1"/>
  <c r="O13" i="1" s="1"/>
  <c r="N46" i="1"/>
  <c r="O46" i="1" s="1"/>
  <c r="N82" i="1"/>
  <c r="O82" i="1" s="1"/>
  <c r="N25" i="1"/>
  <c r="O25" i="1" s="1"/>
  <c r="AB15" i="1"/>
  <c r="AC15" i="1"/>
  <c r="AC14" i="1"/>
  <c r="AB14" i="1"/>
  <c r="AB9" i="1"/>
  <c r="AC9" i="1"/>
  <c r="AC8" i="1"/>
  <c r="AB8" i="1"/>
  <c r="H210" i="13"/>
  <c r="P127" i="1" l="1"/>
  <c r="AE127" i="1" s="1"/>
  <c r="AD127" i="1" s="1"/>
  <c r="AF42" i="18"/>
  <c r="V102" i="18"/>
  <c r="AP22" i="18"/>
  <c r="AZ42" i="18"/>
  <c r="L102" i="18"/>
  <c r="AP62" i="18"/>
  <c r="L42" i="18"/>
  <c r="V22" i="18"/>
  <c r="AZ62" i="18"/>
  <c r="V42" i="18"/>
  <c r="AP82" i="18"/>
  <c r="AF62" i="18"/>
  <c r="AF22" i="18"/>
  <c r="L22" i="18"/>
  <c r="AZ82" i="18"/>
  <c r="V62" i="18"/>
  <c r="AP102" i="18"/>
  <c r="AF82" i="18"/>
  <c r="L62" i="18"/>
  <c r="Q127" i="1"/>
  <c r="AP42" i="18"/>
  <c r="AZ102" i="18"/>
  <c r="V82" i="18"/>
  <c r="AZ22" i="18"/>
  <c r="AF102" i="18"/>
  <c r="L82" i="18"/>
  <c r="P145" i="1"/>
  <c r="N24" i="18"/>
  <c r="X104" i="18"/>
  <c r="AR84" i="18"/>
  <c r="N84" i="18"/>
  <c r="AH64" i="18"/>
  <c r="BB24" i="18"/>
  <c r="X44" i="18"/>
  <c r="N64" i="18"/>
  <c r="AR104" i="18"/>
  <c r="N104" i="18"/>
  <c r="BB84" i="18"/>
  <c r="AR24" i="18"/>
  <c r="X64" i="18"/>
  <c r="AR44" i="18"/>
  <c r="N44" i="18"/>
  <c r="BB104" i="18"/>
  <c r="AH84" i="18"/>
  <c r="AR64" i="18"/>
  <c r="Q145" i="1"/>
  <c r="BB44" i="18"/>
  <c r="AH104" i="18"/>
  <c r="X24" i="18"/>
  <c r="X84" i="18"/>
  <c r="BB64" i="18"/>
  <c r="AH24" i="18"/>
  <c r="AH44" i="18"/>
  <c r="P130" i="1"/>
  <c r="AE130" i="1" s="1"/>
  <c r="AD130" i="1" s="1"/>
  <c r="AR22" i="18"/>
  <c r="AR62" i="18"/>
  <c r="BB62" i="18"/>
  <c r="AH62" i="18"/>
  <c r="X62" i="18"/>
  <c r="N62" i="18"/>
  <c r="Q130" i="1"/>
  <c r="AH22" i="18"/>
  <c r="BB22" i="18"/>
  <c r="AR42" i="18"/>
  <c r="BB42" i="18"/>
  <c r="AH42" i="18"/>
  <c r="X42" i="18"/>
  <c r="N42" i="18"/>
  <c r="N22" i="18"/>
  <c r="AR102" i="18"/>
  <c r="BB102" i="18"/>
  <c r="AH102" i="18"/>
  <c r="X102" i="18"/>
  <c r="N102" i="18"/>
  <c r="X22" i="18"/>
  <c r="AR82" i="18"/>
  <c r="BB82" i="18"/>
  <c r="AH82" i="18"/>
  <c r="X82" i="18"/>
  <c r="N82" i="18"/>
  <c r="P124" i="1"/>
  <c r="AE124" i="1" s="1"/>
  <c r="AD124" i="1" s="1"/>
  <c r="AD22" i="18"/>
  <c r="AX22" i="18"/>
  <c r="AN42" i="18"/>
  <c r="AX42" i="18"/>
  <c r="AD42" i="18"/>
  <c r="T42" i="18"/>
  <c r="J22" i="18"/>
  <c r="AN102" i="18"/>
  <c r="AX102" i="18"/>
  <c r="AD102" i="18"/>
  <c r="T102" i="18"/>
  <c r="J102" i="18"/>
  <c r="Q124" i="1"/>
  <c r="J42" i="18"/>
  <c r="T22" i="18"/>
  <c r="AN82" i="18"/>
  <c r="AX82" i="18"/>
  <c r="AD82" i="18"/>
  <c r="T82" i="18"/>
  <c r="J82" i="18"/>
  <c r="AN22" i="18"/>
  <c r="AN62" i="18"/>
  <c r="AX62" i="18"/>
  <c r="AD62" i="18"/>
  <c r="T62" i="18"/>
  <c r="J62" i="18"/>
  <c r="P142" i="1"/>
  <c r="L44" i="18"/>
  <c r="AP104" i="18"/>
  <c r="AF104" i="18"/>
  <c r="L104" i="18"/>
  <c r="AZ24" i="18"/>
  <c r="AZ44" i="18"/>
  <c r="V44" i="18"/>
  <c r="AP64" i="18"/>
  <c r="AF64" i="18"/>
  <c r="L64" i="18"/>
  <c r="AP84" i="18"/>
  <c r="AF84" i="18"/>
  <c r="L84" i="18"/>
  <c r="L24" i="18"/>
  <c r="AZ104" i="18"/>
  <c r="V104" i="18"/>
  <c r="AF24" i="18"/>
  <c r="AP44" i="18"/>
  <c r="AF44" i="18"/>
  <c r="AP24" i="18"/>
  <c r="AZ64" i="18"/>
  <c r="V64" i="18"/>
  <c r="V24" i="18"/>
  <c r="AZ84" i="18"/>
  <c r="V84" i="18"/>
  <c r="Q142" i="1"/>
  <c r="P133" i="1"/>
  <c r="AE133" i="1" s="1"/>
  <c r="AD133" i="1" s="1"/>
  <c r="AJ102" i="18"/>
  <c r="BD22" i="18"/>
  <c r="Z42" i="18"/>
  <c r="BD62" i="18"/>
  <c r="Z22" i="18"/>
  <c r="Z82" i="18"/>
  <c r="P22" i="18"/>
  <c r="Z102" i="18"/>
  <c r="AT42" i="18"/>
  <c r="P42" i="18"/>
  <c r="AJ62" i="18"/>
  <c r="AT82" i="18"/>
  <c r="AT102" i="18"/>
  <c r="P102" i="18"/>
  <c r="BD42" i="18"/>
  <c r="AT22" i="18"/>
  <c r="Z62" i="18"/>
  <c r="BD82" i="18"/>
  <c r="Q133" i="1"/>
  <c r="P82" i="18"/>
  <c r="BD102" i="18"/>
  <c r="AJ22" i="18"/>
  <c r="AJ42" i="18"/>
  <c r="AT62" i="18"/>
  <c r="P62" i="18"/>
  <c r="AJ82" i="18"/>
  <c r="P136" i="1"/>
  <c r="R42" i="18"/>
  <c r="AV102" i="18"/>
  <c r="AV22" i="18"/>
  <c r="R102" i="18"/>
  <c r="AV82" i="18"/>
  <c r="AL82" i="18"/>
  <c r="R82" i="18"/>
  <c r="AB102" i="18"/>
  <c r="AV62" i="18"/>
  <c r="BF102" i="18"/>
  <c r="AL22" i="18"/>
  <c r="AV42" i="18"/>
  <c r="AL42" i="18"/>
  <c r="Q136" i="1"/>
  <c r="R62" i="18"/>
  <c r="BF62" i="18"/>
  <c r="AL102" i="18"/>
  <c r="AB22" i="18"/>
  <c r="BF82" i="18"/>
  <c r="AB82" i="18"/>
  <c r="R22" i="18"/>
  <c r="AB62" i="18"/>
  <c r="AL62" i="18"/>
  <c r="BF22" i="18"/>
  <c r="BF42" i="18"/>
  <c r="AB42" i="18"/>
  <c r="P151" i="1"/>
  <c r="Q151" i="1"/>
  <c r="AV24" i="18"/>
  <c r="AV64" i="18"/>
  <c r="BF64" i="18"/>
  <c r="AL64" i="18"/>
  <c r="AB64" i="18"/>
  <c r="R64" i="18"/>
  <c r="AL24" i="18"/>
  <c r="BF24" i="18"/>
  <c r="AV44" i="18"/>
  <c r="BF44" i="18"/>
  <c r="AL44" i="18"/>
  <c r="AB44" i="18"/>
  <c r="R44" i="18"/>
  <c r="R24" i="18"/>
  <c r="AV104" i="18"/>
  <c r="BF104" i="18"/>
  <c r="AL104" i="18"/>
  <c r="AB104" i="18"/>
  <c r="R104" i="18"/>
  <c r="AB24" i="18"/>
  <c r="AV84" i="18"/>
  <c r="BF84" i="18"/>
  <c r="AL84" i="18"/>
  <c r="AB84" i="18"/>
  <c r="R84" i="18"/>
  <c r="P139" i="1"/>
  <c r="AX64" i="18"/>
  <c r="T24" i="18"/>
  <c r="T84" i="18"/>
  <c r="AX104" i="18"/>
  <c r="AD24" i="18"/>
  <c r="AD44" i="18"/>
  <c r="Q139" i="1"/>
  <c r="AD64" i="18"/>
  <c r="AN84" i="18"/>
  <c r="J84" i="18"/>
  <c r="AD104" i="18"/>
  <c r="AX24" i="18"/>
  <c r="T44" i="18"/>
  <c r="AN24" i="18"/>
  <c r="T64" i="18"/>
  <c r="AX84" i="18"/>
  <c r="J24" i="18"/>
  <c r="T104" i="18"/>
  <c r="AN44" i="18"/>
  <c r="J44" i="18"/>
  <c r="AN64" i="18"/>
  <c r="J64" i="18"/>
  <c r="AD84" i="18"/>
  <c r="AN104" i="18"/>
  <c r="J104" i="18"/>
  <c r="AX44" i="18"/>
  <c r="AT104" i="18"/>
  <c r="AJ84" i="18"/>
  <c r="AT64" i="18"/>
  <c r="P64" i="18"/>
  <c r="BD44" i="18"/>
  <c r="Q148" i="1"/>
  <c r="BD104" i="18"/>
  <c r="Z24" i="18"/>
  <c r="Z84" i="18"/>
  <c r="BD64" i="18"/>
  <c r="AJ24" i="18"/>
  <c r="AJ44" i="18"/>
  <c r="P148" i="1"/>
  <c r="AE148" i="1" s="1"/>
  <c r="AD148" i="1" s="1"/>
  <c r="AJ104" i="18"/>
  <c r="AT84" i="18"/>
  <c r="P84" i="18"/>
  <c r="AJ64" i="18"/>
  <c r="BD24" i="18"/>
  <c r="Z44" i="18"/>
  <c r="P104" i="18"/>
  <c r="P24" i="18"/>
  <c r="Z104" i="18"/>
  <c r="BD84" i="18"/>
  <c r="AT24" i="18"/>
  <c r="Z64" i="18"/>
  <c r="AT44" i="18"/>
  <c r="P44" i="18"/>
  <c r="N26" i="18"/>
  <c r="AH26" i="18"/>
  <c r="AR26" i="18"/>
  <c r="N86" i="18"/>
  <c r="AH46" i="18"/>
  <c r="N66" i="18"/>
  <c r="AH66" i="18"/>
  <c r="AR66" i="18"/>
  <c r="X46" i="18"/>
  <c r="AR6" i="18"/>
  <c r="AH86" i="18"/>
  <c r="X26" i="18"/>
  <c r="BB26" i="18"/>
  <c r="BB6" i="18"/>
  <c r="X86" i="18"/>
  <c r="N6" i="18"/>
  <c r="BB46" i="18"/>
  <c r="X66" i="18"/>
  <c r="BB66" i="18"/>
  <c r="X6" i="18"/>
  <c r="AR46" i="18"/>
  <c r="N46" i="18"/>
  <c r="BB86" i="18"/>
  <c r="AR86" i="18"/>
  <c r="L70" i="18"/>
  <c r="V70" i="18"/>
  <c r="AF70" i="18"/>
  <c r="AZ70" i="18"/>
  <c r="AP70" i="18"/>
  <c r="V10" i="18"/>
  <c r="L50" i="18"/>
  <c r="V50" i="18"/>
  <c r="AF50" i="18"/>
  <c r="AZ50" i="18"/>
  <c r="AP50" i="18"/>
  <c r="AP10" i="18"/>
  <c r="L30" i="18"/>
  <c r="V30" i="18"/>
  <c r="AF30" i="18"/>
  <c r="AZ30" i="18"/>
  <c r="AP30" i="18"/>
  <c r="AZ10" i="18"/>
  <c r="L90" i="18"/>
  <c r="V90" i="18"/>
  <c r="AF90" i="18"/>
  <c r="AZ90" i="18"/>
  <c r="AP90" i="18"/>
  <c r="L10" i="18"/>
  <c r="N50" i="18"/>
  <c r="X50" i="18"/>
  <c r="AH50" i="18"/>
  <c r="BB50" i="18"/>
  <c r="AR50" i="18"/>
  <c r="AR10" i="18"/>
  <c r="X30" i="18"/>
  <c r="AH30" i="18"/>
  <c r="BB30" i="18"/>
  <c r="AR30" i="18"/>
  <c r="BB10" i="18"/>
  <c r="N30" i="18"/>
  <c r="N90" i="18"/>
  <c r="X90" i="18"/>
  <c r="AH90" i="18"/>
  <c r="BB90" i="18"/>
  <c r="AR90" i="18"/>
  <c r="N10" i="18"/>
  <c r="N70" i="18"/>
  <c r="X70" i="18"/>
  <c r="AH70" i="18"/>
  <c r="BB70" i="18"/>
  <c r="AR70" i="18"/>
  <c r="X10" i="18"/>
  <c r="L86" i="18"/>
  <c r="AP86" i="18"/>
  <c r="V86" i="18"/>
  <c r="L6" i="18"/>
  <c r="AZ66" i="18"/>
  <c r="AF86" i="18"/>
  <c r="L66" i="18"/>
  <c r="AP66" i="18"/>
  <c r="AF46" i="18"/>
  <c r="L26" i="18"/>
  <c r="AP26" i="18"/>
  <c r="AZ86" i="18"/>
  <c r="V66" i="18"/>
  <c r="V6" i="18"/>
  <c r="AZ46" i="18"/>
  <c r="V26" i="18"/>
  <c r="AZ6" i="18"/>
  <c r="V46" i="18"/>
  <c r="AZ26" i="18"/>
  <c r="AP6" i="18"/>
  <c r="AF26" i="18"/>
  <c r="AP46" i="18"/>
  <c r="AF66" i="18"/>
  <c r="L46" i="18"/>
  <c r="P32" i="18"/>
  <c r="AT32" i="18"/>
  <c r="AJ72" i="18"/>
  <c r="P92" i="18"/>
  <c r="AT92" i="18"/>
  <c r="AJ52" i="18"/>
  <c r="Z32" i="18"/>
  <c r="BD12" i="18"/>
  <c r="BD72" i="18"/>
  <c r="Z92" i="18"/>
  <c r="P12" i="18"/>
  <c r="BD52" i="18"/>
  <c r="AJ32" i="18"/>
  <c r="P72" i="18"/>
  <c r="AT72" i="18"/>
  <c r="AJ92" i="18"/>
  <c r="P52" i="18"/>
  <c r="AT52" i="18"/>
  <c r="BD32" i="18"/>
  <c r="Z72" i="18"/>
  <c r="Z12" i="18"/>
  <c r="BD92" i="18"/>
  <c r="Z52" i="18"/>
  <c r="AT12" i="18"/>
  <c r="J32" i="18"/>
  <c r="T32" i="18"/>
  <c r="AD32" i="18"/>
  <c r="AX32" i="18"/>
  <c r="AN32" i="18"/>
  <c r="AX12" i="18"/>
  <c r="J52" i="18"/>
  <c r="T52" i="18"/>
  <c r="AD52" i="18"/>
  <c r="AX52" i="18"/>
  <c r="AN52" i="18"/>
  <c r="AN12" i="18"/>
  <c r="J72" i="18"/>
  <c r="T72" i="18"/>
  <c r="AD72" i="18"/>
  <c r="AX72" i="18"/>
  <c r="AN72" i="18"/>
  <c r="T12" i="18"/>
  <c r="J92" i="18"/>
  <c r="T92" i="18"/>
  <c r="AD92" i="18"/>
  <c r="AX92" i="18"/>
  <c r="AN92" i="18"/>
  <c r="J12" i="18"/>
  <c r="L38" i="18"/>
  <c r="AZ78" i="18"/>
  <c r="V38" i="18"/>
  <c r="AZ58" i="18"/>
  <c r="V18" i="18"/>
  <c r="AZ38" i="18"/>
  <c r="V58" i="18"/>
  <c r="AZ18" i="18"/>
  <c r="V78" i="18"/>
  <c r="AP38" i="18"/>
  <c r="L58" i="18"/>
  <c r="AZ98" i="18"/>
  <c r="AF58" i="18"/>
  <c r="L18" i="18"/>
  <c r="V98" i="18"/>
  <c r="AP58" i="18"/>
  <c r="L98" i="18"/>
  <c r="AP98" i="18"/>
  <c r="AF98" i="18"/>
  <c r="L78" i="18"/>
  <c r="AF78" i="18"/>
  <c r="AP78" i="18"/>
  <c r="AF38" i="18"/>
  <c r="AP18" i="18"/>
  <c r="N78" i="18"/>
  <c r="AR78" i="18"/>
  <c r="AH58" i="18"/>
  <c r="AH38" i="18"/>
  <c r="X98" i="18"/>
  <c r="N18" i="18"/>
  <c r="X78" i="18"/>
  <c r="X18" i="18"/>
  <c r="BB58" i="18"/>
  <c r="AR38" i="18"/>
  <c r="AH98" i="18"/>
  <c r="N38" i="18"/>
  <c r="AH78" i="18"/>
  <c r="N58" i="18"/>
  <c r="AR58" i="18"/>
  <c r="BB18" i="18"/>
  <c r="BB98" i="18"/>
  <c r="X38" i="18"/>
  <c r="BB78" i="18"/>
  <c r="X58" i="18"/>
  <c r="AR18" i="18"/>
  <c r="N98" i="18"/>
  <c r="AR98" i="18"/>
  <c r="BB38" i="18"/>
  <c r="J48" i="18"/>
  <c r="AN48" i="18"/>
  <c r="AD88" i="18"/>
  <c r="J68" i="18"/>
  <c r="AN68" i="18"/>
  <c r="AD28" i="18"/>
  <c r="T48" i="18"/>
  <c r="AN8" i="18"/>
  <c r="AX88" i="18"/>
  <c r="T68" i="18"/>
  <c r="T8" i="18"/>
  <c r="AX28" i="18"/>
  <c r="AD48" i="18"/>
  <c r="J88" i="18"/>
  <c r="AN88" i="18"/>
  <c r="AD68" i="18"/>
  <c r="J28" i="18"/>
  <c r="AN28" i="18"/>
  <c r="AX48" i="18"/>
  <c r="T88" i="18"/>
  <c r="J8" i="18"/>
  <c r="AX68" i="18"/>
  <c r="T28" i="18"/>
  <c r="AX8" i="18"/>
  <c r="R52" i="18"/>
  <c r="AB52" i="18"/>
  <c r="AL52" i="18"/>
  <c r="BF52" i="18"/>
  <c r="AV52" i="18"/>
  <c r="AV12" i="18"/>
  <c r="R72" i="18"/>
  <c r="AB72" i="18"/>
  <c r="AL72" i="18"/>
  <c r="BF72" i="18"/>
  <c r="AV72" i="18"/>
  <c r="AB12" i="18"/>
  <c r="R92" i="18"/>
  <c r="AB92" i="18"/>
  <c r="AL92" i="18"/>
  <c r="BF92" i="18"/>
  <c r="AV92" i="18"/>
  <c r="R12" i="18"/>
  <c r="AB32" i="18"/>
  <c r="AL32" i="18"/>
  <c r="BF32" i="18"/>
  <c r="AV32" i="18"/>
  <c r="BF12" i="18"/>
  <c r="R32" i="18"/>
  <c r="R48" i="18"/>
  <c r="R28" i="18"/>
  <c r="AV28" i="18"/>
  <c r="R88" i="18"/>
  <c r="R68" i="18"/>
  <c r="AV68" i="18"/>
  <c r="AL48" i="18"/>
  <c r="AB28" i="18"/>
  <c r="BF8" i="18"/>
  <c r="AL88" i="18"/>
  <c r="AB68" i="18"/>
  <c r="AB8" i="18"/>
  <c r="BF48" i="18"/>
  <c r="AL28" i="18"/>
  <c r="AB88" i="18"/>
  <c r="BF88" i="18"/>
  <c r="AL68" i="18"/>
  <c r="AB48" i="18"/>
  <c r="AV8" i="18"/>
  <c r="BF28" i="18"/>
  <c r="R8" i="18"/>
  <c r="AV88" i="18"/>
  <c r="BF68" i="18"/>
  <c r="AV48" i="18"/>
  <c r="J36" i="18"/>
  <c r="AX76" i="18"/>
  <c r="J76" i="18"/>
  <c r="AN76" i="18"/>
  <c r="T56" i="18"/>
  <c r="AX56" i="18"/>
  <c r="T36" i="18"/>
  <c r="T16" i="18"/>
  <c r="T76" i="18"/>
  <c r="AX16" i="18"/>
  <c r="T96" i="18"/>
  <c r="AX96" i="18"/>
  <c r="AD36" i="18"/>
  <c r="AN56" i="18"/>
  <c r="AX36" i="18"/>
  <c r="J56" i="18"/>
  <c r="AD56" i="18"/>
  <c r="AN96" i="18"/>
  <c r="AD76" i="18"/>
  <c r="J16" i="18"/>
  <c r="AN36" i="18"/>
  <c r="J96" i="18"/>
  <c r="AD96" i="18"/>
  <c r="AN16" i="18"/>
  <c r="R30" i="18"/>
  <c r="AV30" i="18"/>
  <c r="AB70" i="18"/>
  <c r="R90" i="18"/>
  <c r="AV90" i="18"/>
  <c r="BF50" i="18"/>
  <c r="AB30" i="18"/>
  <c r="BF10" i="18"/>
  <c r="BF70" i="18"/>
  <c r="AB90" i="18"/>
  <c r="R10" i="18"/>
  <c r="AV50" i="18"/>
  <c r="AL30" i="18"/>
  <c r="R50" i="18"/>
  <c r="AV70" i="18"/>
  <c r="AL90" i="18"/>
  <c r="AB50" i="18"/>
  <c r="AL70" i="18"/>
  <c r="BF30" i="18"/>
  <c r="AV10" i="18"/>
  <c r="R70" i="18"/>
  <c r="BF90" i="18"/>
  <c r="AL50" i="18"/>
  <c r="AB10" i="18"/>
  <c r="N48" i="18"/>
  <c r="AR48" i="18"/>
  <c r="AH68" i="18"/>
  <c r="N88" i="18"/>
  <c r="AR88" i="18"/>
  <c r="AH28" i="18"/>
  <c r="X48" i="18"/>
  <c r="AR8" i="18"/>
  <c r="BB68" i="18"/>
  <c r="X88" i="18"/>
  <c r="N8" i="18"/>
  <c r="BB28" i="18"/>
  <c r="AH48" i="18"/>
  <c r="N68" i="18"/>
  <c r="AR68" i="18"/>
  <c r="AH88" i="18"/>
  <c r="N28" i="18"/>
  <c r="AR28" i="18"/>
  <c r="BB48" i="18"/>
  <c r="X68" i="18"/>
  <c r="X8" i="18"/>
  <c r="BB88" i="18"/>
  <c r="X28" i="18"/>
  <c r="BB8" i="18"/>
  <c r="R74" i="18"/>
  <c r="AV74" i="18"/>
  <c r="AL54" i="18"/>
  <c r="AV34" i="18"/>
  <c r="BF34" i="18"/>
  <c r="BF94" i="18"/>
  <c r="AB74" i="18"/>
  <c r="AB14" i="18"/>
  <c r="BF54" i="18"/>
  <c r="R34" i="18"/>
  <c r="R94" i="18"/>
  <c r="AV94" i="18"/>
  <c r="AL74" i="18"/>
  <c r="R54" i="18"/>
  <c r="AV54" i="18"/>
  <c r="AB34" i="18"/>
  <c r="AB94" i="18"/>
  <c r="R14" i="18"/>
  <c r="BF74" i="18"/>
  <c r="AB54" i="18"/>
  <c r="AV14" i="18"/>
  <c r="AL34" i="18"/>
  <c r="AL94" i="18"/>
  <c r="BF14" i="18"/>
  <c r="P58" i="18"/>
  <c r="AJ98" i="18"/>
  <c r="P78" i="18"/>
  <c r="AJ78" i="18"/>
  <c r="AT78" i="18"/>
  <c r="BD58" i="18"/>
  <c r="P98" i="18"/>
  <c r="AT58" i="18"/>
  <c r="Z38" i="18"/>
  <c r="BD38" i="18"/>
  <c r="BD18" i="18"/>
  <c r="BD98" i="18"/>
  <c r="Z58" i="18"/>
  <c r="P18" i="18"/>
  <c r="Z78" i="18"/>
  <c r="BD78" i="18"/>
  <c r="Z18" i="18"/>
  <c r="AT98" i="18"/>
  <c r="AJ58" i="18"/>
  <c r="P38" i="18"/>
  <c r="AJ38" i="18"/>
  <c r="AT38" i="18"/>
  <c r="Z98" i="18"/>
  <c r="AT18" i="18"/>
  <c r="P30" i="18"/>
  <c r="Z30" i="18"/>
  <c r="AJ30" i="18"/>
  <c r="BD30" i="18"/>
  <c r="AT30" i="18"/>
  <c r="BD10" i="18"/>
  <c r="P90" i="18"/>
  <c r="Z90" i="18"/>
  <c r="AJ90" i="18"/>
  <c r="BD90" i="18"/>
  <c r="AT90" i="18"/>
  <c r="P10" i="18"/>
  <c r="P70" i="18"/>
  <c r="Z70" i="18"/>
  <c r="AJ70" i="18"/>
  <c r="BD70" i="18"/>
  <c r="AT70" i="18"/>
  <c r="Z10" i="18"/>
  <c r="P50" i="18"/>
  <c r="Z50" i="18"/>
  <c r="AJ50" i="18"/>
  <c r="BD50" i="18"/>
  <c r="AT50" i="18"/>
  <c r="AT10" i="18"/>
  <c r="J38" i="18"/>
  <c r="AN38" i="18"/>
  <c r="AD58" i="18"/>
  <c r="J78" i="18"/>
  <c r="AN78" i="18"/>
  <c r="AD98" i="18"/>
  <c r="T38" i="18"/>
  <c r="AX18" i="18"/>
  <c r="AX58" i="18"/>
  <c r="T78" i="18"/>
  <c r="T18" i="18"/>
  <c r="AX98" i="18"/>
  <c r="AD38" i="18"/>
  <c r="J58" i="18"/>
  <c r="AN58" i="18"/>
  <c r="AD78" i="18"/>
  <c r="J98" i="18"/>
  <c r="AN98" i="18"/>
  <c r="AX38" i="18"/>
  <c r="T58" i="18"/>
  <c r="AN18" i="18"/>
  <c r="AX78" i="18"/>
  <c r="T98" i="18"/>
  <c r="J18" i="18"/>
  <c r="AB40" i="18"/>
  <c r="BF20" i="18"/>
  <c r="AL60" i="18"/>
  <c r="R80" i="18"/>
  <c r="AV80" i="18"/>
  <c r="AL100" i="18"/>
  <c r="R40" i="18"/>
  <c r="AV40" i="18"/>
  <c r="AB60" i="18"/>
  <c r="AV20" i="18"/>
  <c r="AB100" i="18"/>
  <c r="R20" i="18"/>
  <c r="AL40" i="18"/>
  <c r="AL20" i="18"/>
  <c r="BF60" i="18"/>
  <c r="AB80" i="18"/>
  <c r="AB20" i="18"/>
  <c r="BF100" i="18"/>
  <c r="BF40" i="18"/>
  <c r="R60" i="18"/>
  <c r="AV60" i="18"/>
  <c r="AL80" i="18"/>
  <c r="R100" i="18"/>
  <c r="AV100" i="18"/>
  <c r="BF80" i="18"/>
  <c r="P100" i="18"/>
  <c r="AT100" i="18"/>
  <c r="Z80" i="18"/>
  <c r="BD80" i="18"/>
  <c r="Z20" i="18"/>
  <c r="Z100" i="18"/>
  <c r="P20" i="18"/>
  <c r="AJ60" i="18"/>
  <c r="P40" i="18"/>
  <c r="AJ40" i="18"/>
  <c r="AT40" i="18"/>
  <c r="AJ20" i="18"/>
  <c r="AJ100" i="18"/>
  <c r="BD100" i="18"/>
  <c r="Z40" i="18"/>
  <c r="BD40" i="18"/>
  <c r="BD20" i="18"/>
  <c r="Z60" i="18"/>
  <c r="AT20" i="18"/>
  <c r="BD60" i="18"/>
  <c r="P80" i="18"/>
  <c r="AJ80" i="18"/>
  <c r="AT80" i="18"/>
  <c r="P60" i="18"/>
  <c r="AT60" i="18"/>
  <c r="N80" i="18"/>
  <c r="AR80" i="18"/>
  <c r="AH60" i="18"/>
  <c r="N100" i="18"/>
  <c r="X40" i="18"/>
  <c r="BB20" i="18"/>
  <c r="N20" i="18"/>
  <c r="BB80" i="18"/>
  <c r="X60" i="18"/>
  <c r="AR40" i="18"/>
  <c r="BB100" i="18"/>
  <c r="X80" i="18"/>
  <c r="X20" i="18"/>
  <c r="BB60" i="18"/>
  <c r="AH100" i="18"/>
  <c r="AH40" i="18"/>
  <c r="AH20" i="18"/>
  <c r="N40" i="18"/>
  <c r="AH80" i="18"/>
  <c r="N60" i="18"/>
  <c r="AR60" i="18"/>
  <c r="AR100" i="18"/>
  <c r="BB40" i="18"/>
  <c r="X100" i="18"/>
  <c r="AR20" i="18"/>
  <c r="L60" i="18"/>
  <c r="V60" i="18"/>
  <c r="AF60" i="18"/>
  <c r="AZ60" i="18"/>
  <c r="AP80" i="18"/>
  <c r="AP20" i="18"/>
  <c r="L80" i="18"/>
  <c r="V80" i="18"/>
  <c r="AF80" i="18"/>
  <c r="AZ100" i="18"/>
  <c r="AP100" i="18"/>
  <c r="V20" i="18"/>
  <c r="AZ80" i="18"/>
  <c r="L100" i="18"/>
  <c r="V100" i="18"/>
  <c r="AF100" i="18"/>
  <c r="AP40" i="18"/>
  <c r="AZ20" i="18"/>
  <c r="AF20" i="18"/>
  <c r="L40" i="18"/>
  <c r="V40" i="18"/>
  <c r="AF40" i="18"/>
  <c r="AZ40" i="18"/>
  <c r="AP60" i="18"/>
  <c r="L20" i="18"/>
  <c r="J40" i="18"/>
  <c r="AN40" i="18"/>
  <c r="AX80" i="18"/>
  <c r="AX100" i="18"/>
  <c r="AX60" i="18"/>
  <c r="AD80" i="18"/>
  <c r="J20" i="18"/>
  <c r="T40" i="18"/>
  <c r="AX20" i="18"/>
  <c r="AN80" i="18"/>
  <c r="J60" i="18"/>
  <c r="AN60" i="18"/>
  <c r="T20" i="18"/>
  <c r="AD40" i="18"/>
  <c r="AD20" i="18"/>
  <c r="T100" i="18"/>
  <c r="T60" i="18"/>
  <c r="AN20" i="18"/>
  <c r="J100" i="18"/>
  <c r="AX40" i="18"/>
  <c r="J80" i="18"/>
  <c r="AD100" i="18"/>
  <c r="AD60" i="18"/>
  <c r="T80" i="18"/>
  <c r="AN100" i="18"/>
  <c r="R38" i="18"/>
  <c r="AV38" i="18"/>
  <c r="R98" i="18"/>
  <c r="R58" i="18"/>
  <c r="AV58" i="18"/>
  <c r="AL78" i="18"/>
  <c r="AB78" i="18"/>
  <c r="AB38" i="18"/>
  <c r="BF18" i="18"/>
  <c r="AL98" i="18"/>
  <c r="AB58" i="18"/>
  <c r="AV18" i="18"/>
  <c r="AB18" i="18"/>
  <c r="AV78" i="18"/>
  <c r="R18" i="18"/>
  <c r="AV98" i="18"/>
  <c r="AL38" i="18"/>
  <c r="BF78" i="18"/>
  <c r="BF98" i="18"/>
  <c r="AL58" i="18"/>
  <c r="R78" i="18"/>
  <c r="AB98" i="18"/>
  <c r="BF38" i="18"/>
  <c r="BF58" i="18"/>
  <c r="R36" i="18"/>
  <c r="AL36" i="18"/>
  <c r="AV36" i="18"/>
  <c r="R56" i="18"/>
  <c r="AL56" i="18"/>
  <c r="AV56" i="18"/>
  <c r="R76" i="18"/>
  <c r="AL76" i="18"/>
  <c r="AV76" i="18"/>
  <c r="R96" i="18"/>
  <c r="AL96" i="18"/>
  <c r="AV96" i="18"/>
  <c r="AB36" i="18"/>
  <c r="BF36" i="18"/>
  <c r="BF16" i="18"/>
  <c r="AB56" i="18"/>
  <c r="BF56" i="18"/>
  <c r="AV16" i="18"/>
  <c r="AB76" i="18"/>
  <c r="BF76" i="18"/>
  <c r="AB16" i="18"/>
  <c r="AB96" i="18"/>
  <c r="BF96" i="18"/>
  <c r="R16" i="18"/>
  <c r="P76" i="18"/>
  <c r="AT76" i="18"/>
  <c r="AJ36" i="18"/>
  <c r="AJ96" i="18"/>
  <c r="Z76" i="18"/>
  <c r="Z16" i="18"/>
  <c r="BD36" i="18"/>
  <c r="AT96" i="18"/>
  <c r="AJ76" i="18"/>
  <c r="P36" i="18"/>
  <c r="AT36" i="18"/>
  <c r="P56" i="18"/>
  <c r="AT56" i="18"/>
  <c r="BD96" i="18"/>
  <c r="P96" i="18"/>
  <c r="BD56" i="18"/>
  <c r="BD76" i="18"/>
  <c r="Z36" i="18"/>
  <c r="BD16" i="18"/>
  <c r="Z56" i="18"/>
  <c r="AT16" i="18"/>
  <c r="P16" i="18"/>
  <c r="AJ56" i="18"/>
  <c r="Z96" i="18"/>
  <c r="AH36" i="18"/>
  <c r="X16" i="18"/>
  <c r="AH56" i="18"/>
  <c r="N76" i="18"/>
  <c r="BB76" i="18"/>
  <c r="AR76" i="18"/>
  <c r="N56" i="18"/>
  <c r="N16" i="18"/>
  <c r="AH96" i="18"/>
  <c r="N96" i="18"/>
  <c r="BB96" i="18"/>
  <c r="AR96" i="18"/>
  <c r="X36" i="18"/>
  <c r="X76" i="18"/>
  <c r="BB36" i="18"/>
  <c r="AH76" i="18"/>
  <c r="AR36" i="18"/>
  <c r="BB16" i="18"/>
  <c r="X56" i="18"/>
  <c r="X96" i="18"/>
  <c r="N36" i="18"/>
  <c r="BB56" i="18"/>
  <c r="AR56" i="18"/>
  <c r="AR16" i="18"/>
  <c r="L36" i="18"/>
  <c r="AZ76" i="18"/>
  <c r="AF96" i="18"/>
  <c r="V36" i="18"/>
  <c r="AZ16" i="18"/>
  <c r="AZ56" i="18"/>
  <c r="L76" i="18"/>
  <c r="AP76" i="18"/>
  <c r="AZ96" i="18"/>
  <c r="AF36" i="18"/>
  <c r="L56" i="18"/>
  <c r="AP56" i="18"/>
  <c r="V76" i="18"/>
  <c r="V16" i="18"/>
  <c r="AP96" i="18"/>
  <c r="AZ36" i="18"/>
  <c r="V56" i="18"/>
  <c r="AP16" i="18"/>
  <c r="AF76" i="18"/>
  <c r="V96" i="18"/>
  <c r="L16" i="18"/>
  <c r="AP36" i="18"/>
  <c r="AF56" i="18"/>
  <c r="L96" i="18"/>
  <c r="P34" i="18"/>
  <c r="Z34" i="18"/>
  <c r="AJ34" i="18"/>
  <c r="BD34" i="18"/>
  <c r="AT34" i="18"/>
  <c r="BD14" i="18"/>
  <c r="Z54" i="18"/>
  <c r="BD54" i="18"/>
  <c r="AT14" i="18"/>
  <c r="P54" i="18"/>
  <c r="P74" i="18"/>
  <c r="Z74" i="18"/>
  <c r="AJ74" i="18"/>
  <c r="BD74" i="18"/>
  <c r="AT74" i="18"/>
  <c r="Z14" i="18"/>
  <c r="Z94" i="18"/>
  <c r="AJ94" i="18"/>
  <c r="BD94" i="18"/>
  <c r="AT94" i="18"/>
  <c r="P14" i="18"/>
  <c r="AJ54" i="18"/>
  <c r="AT54" i="18"/>
  <c r="P94" i="18"/>
  <c r="N34" i="18"/>
  <c r="AR34" i="18"/>
  <c r="AH54" i="18"/>
  <c r="AH74" i="18"/>
  <c r="N94" i="18"/>
  <c r="AR94" i="18"/>
  <c r="BB14" i="18"/>
  <c r="BB54" i="18"/>
  <c r="AR74" i="18"/>
  <c r="X94" i="18"/>
  <c r="N14" i="18"/>
  <c r="AH94" i="18"/>
  <c r="X54" i="18"/>
  <c r="N74" i="18"/>
  <c r="BB74" i="18"/>
  <c r="X34" i="18"/>
  <c r="AH34" i="18"/>
  <c r="N54" i="18"/>
  <c r="AR54" i="18"/>
  <c r="X14" i="18"/>
  <c r="X74" i="18"/>
  <c r="AR14" i="18"/>
  <c r="BB94" i="18"/>
  <c r="BB34" i="18"/>
  <c r="L34" i="18"/>
  <c r="L74" i="18"/>
  <c r="V34" i="18"/>
  <c r="AZ34" i="18"/>
  <c r="AZ14" i="18"/>
  <c r="AF54" i="18"/>
  <c r="AP54" i="18"/>
  <c r="L94" i="18"/>
  <c r="V74" i="18"/>
  <c r="AZ74" i="18"/>
  <c r="V14" i="18"/>
  <c r="AF94" i="18"/>
  <c r="AP94" i="18"/>
  <c r="L54" i="18"/>
  <c r="AF34" i="18"/>
  <c r="AP34" i="18"/>
  <c r="V54" i="18"/>
  <c r="AZ54" i="18"/>
  <c r="AP14" i="18"/>
  <c r="AF74" i="18"/>
  <c r="AP74" i="18"/>
  <c r="V94" i="18"/>
  <c r="AZ94" i="18"/>
  <c r="L14" i="18"/>
  <c r="J74" i="18"/>
  <c r="AN74" i="18"/>
  <c r="T54" i="18"/>
  <c r="AD34" i="18"/>
  <c r="AX54" i="18"/>
  <c r="AD94" i="18"/>
  <c r="AD54" i="18"/>
  <c r="J34" i="18"/>
  <c r="J94" i="18"/>
  <c r="J54" i="18"/>
  <c r="T34" i="18"/>
  <c r="T94" i="18"/>
  <c r="T74" i="18"/>
  <c r="T14" i="18"/>
  <c r="AN14" i="18"/>
  <c r="AX34" i="18"/>
  <c r="AN54" i="18"/>
  <c r="AX94" i="18"/>
  <c r="AD74" i="18"/>
  <c r="AN34" i="18"/>
  <c r="AN94" i="18"/>
  <c r="AX74" i="18"/>
  <c r="AX14" i="18"/>
  <c r="J14" i="18"/>
  <c r="N92" i="18"/>
  <c r="AR92" i="18"/>
  <c r="X32" i="18"/>
  <c r="BB32" i="18"/>
  <c r="BB12" i="18"/>
  <c r="AH52" i="18"/>
  <c r="N32" i="18"/>
  <c r="AH32" i="18"/>
  <c r="N52" i="18"/>
  <c r="N72" i="18"/>
  <c r="AH72" i="18"/>
  <c r="X92" i="18"/>
  <c r="X52" i="18"/>
  <c r="N12" i="18"/>
  <c r="X72" i="18"/>
  <c r="BB72" i="18"/>
  <c r="X12" i="18"/>
  <c r="BB52" i="18"/>
  <c r="AH92" i="18"/>
  <c r="AR32" i="18"/>
  <c r="AR52" i="18"/>
  <c r="BB92" i="18"/>
  <c r="AR72" i="18"/>
  <c r="AR12" i="18"/>
  <c r="L52" i="18"/>
  <c r="AP52" i="18"/>
  <c r="V72" i="18"/>
  <c r="AF32" i="18"/>
  <c r="L92" i="18"/>
  <c r="L72" i="18"/>
  <c r="V92" i="18"/>
  <c r="AP32" i="18"/>
  <c r="AP72" i="18"/>
  <c r="AZ52" i="18"/>
  <c r="V32" i="18"/>
  <c r="L12" i="18"/>
  <c r="V52" i="18"/>
  <c r="AP12" i="18"/>
  <c r="AZ72" i="18"/>
  <c r="AZ32" i="18"/>
  <c r="AF92" i="18"/>
  <c r="AF72" i="18"/>
  <c r="AF52" i="18"/>
  <c r="L32" i="18"/>
  <c r="AP92" i="18"/>
  <c r="AZ92" i="18"/>
  <c r="AZ12" i="18"/>
  <c r="V12" i="18"/>
  <c r="J30" i="18"/>
  <c r="T70" i="18"/>
  <c r="AD70" i="18"/>
  <c r="AN30" i="18"/>
  <c r="T10" i="18"/>
  <c r="J50" i="18"/>
  <c r="J90" i="18"/>
  <c r="T50" i="18"/>
  <c r="T90" i="18"/>
  <c r="AD50" i="18"/>
  <c r="AD90" i="18"/>
  <c r="AX50" i="18"/>
  <c r="AX90" i="18"/>
  <c r="AN50" i="18"/>
  <c r="AN90" i="18"/>
  <c r="AN10" i="18"/>
  <c r="J10" i="18"/>
  <c r="J70" i="18"/>
  <c r="T30" i="18"/>
  <c r="AD30" i="18"/>
  <c r="AX30" i="18"/>
  <c r="AX70" i="18"/>
  <c r="AN70" i="18"/>
  <c r="AX10" i="18"/>
  <c r="P28" i="18"/>
  <c r="Z28" i="18"/>
  <c r="AJ28" i="18"/>
  <c r="BD28" i="18"/>
  <c r="AT28" i="18"/>
  <c r="BD8" i="18"/>
  <c r="P48" i="18"/>
  <c r="Z48" i="18"/>
  <c r="AJ48" i="18"/>
  <c r="BD48" i="18"/>
  <c r="AT48" i="18"/>
  <c r="AT8" i="18"/>
  <c r="P68" i="18"/>
  <c r="Z68" i="18"/>
  <c r="AJ68" i="18"/>
  <c r="BD68" i="18"/>
  <c r="AT68" i="18"/>
  <c r="Z8" i="18"/>
  <c r="P88" i="18"/>
  <c r="Z88" i="18"/>
  <c r="AJ88" i="18"/>
  <c r="BD88" i="18"/>
  <c r="AT88" i="18"/>
  <c r="P8" i="18"/>
  <c r="L28" i="18"/>
  <c r="AF28" i="18"/>
  <c r="AP28" i="18"/>
  <c r="L48" i="18"/>
  <c r="AF88" i="18"/>
  <c r="AP8" i="18"/>
  <c r="V8" i="18"/>
  <c r="L8" i="18"/>
  <c r="L68" i="18"/>
  <c r="AF68" i="18"/>
  <c r="AP68" i="18"/>
  <c r="L88" i="18"/>
  <c r="AZ48" i="18"/>
  <c r="AF48" i="18"/>
  <c r="AZ68" i="18"/>
  <c r="V88" i="18"/>
  <c r="V28" i="18"/>
  <c r="AZ28" i="18"/>
  <c r="AZ8" i="18"/>
  <c r="V48" i="18"/>
  <c r="AZ88" i="18"/>
  <c r="AP48" i="18"/>
  <c r="V68" i="18"/>
  <c r="AP88" i="18"/>
  <c r="R26" i="18"/>
  <c r="AB26" i="18"/>
  <c r="AL26" i="18"/>
  <c r="BF26" i="18"/>
  <c r="AV26" i="18"/>
  <c r="BF6" i="18"/>
  <c r="R46" i="18"/>
  <c r="AB46" i="18"/>
  <c r="AL46" i="18"/>
  <c r="BF46" i="18"/>
  <c r="AV46" i="18"/>
  <c r="AV6" i="18"/>
  <c r="R66" i="18"/>
  <c r="AB66" i="18"/>
  <c r="AL66" i="18"/>
  <c r="BF66" i="18"/>
  <c r="AV66" i="18"/>
  <c r="AB6" i="18"/>
  <c r="R86" i="18"/>
  <c r="AB86" i="18"/>
  <c r="AL86" i="18"/>
  <c r="BF86" i="18"/>
  <c r="AV86" i="18"/>
  <c r="R6" i="18"/>
  <c r="P46" i="18"/>
  <c r="AT46" i="18"/>
  <c r="AJ66" i="18"/>
  <c r="P86" i="18"/>
  <c r="AT86" i="18"/>
  <c r="AJ26" i="18"/>
  <c r="Z46" i="18"/>
  <c r="AT6" i="18"/>
  <c r="BD66" i="18"/>
  <c r="Z86" i="18"/>
  <c r="P6" i="18"/>
  <c r="BD26" i="18"/>
  <c r="AJ46" i="18"/>
  <c r="P66" i="18"/>
  <c r="AT66" i="18"/>
  <c r="AJ86" i="18"/>
  <c r="P26" i="18"/>
  <c r="AT26" i="18"/>
  <c r="BD46" i="18"/>
  <c r="Z66" i="18"/>
  <c r="Z6" i="18"/>
  <c r="BD86" i="18"/>
  <c r="Z26" i="18"/>
  <c r="BD6" i="18"/>
  <c r="P25" i="1"/>
  <c r="Q25" i="1"/>
  <c r="P58" i="1"/>
  <c r="Q58" i="1"/>
  <c r="P97" i="1"/>
  <c r="AE97" i="1" s="1"/>
  <c r="AD97" i="1" s="1"/>
  <c r="AF18" i="18"/>
  <c r="Q97" i="1"/>
  <c r="P52" i="1"/>
  <c r="AE52" i="1" s="1"/>
  <c r="AD52" i="1" s="1"/>
  <c r="Q52" i="1"/>
  <c r="AF12" i="18"/>
  <c r="P22" i="1"/>
  <c r="AE22" i="1" s="1"/>
  <c r="AD22" i="1" s="1"/>
  <c r="Q22" i="1"/>
  <c r="AD8" i="18"/>
  <c r="P82" i="1"/>
  <c r="AE82" i="1" s="1"/>
  <c r="AD82" i="1" s="1"/>
  <c r="Q82" i="1"/>
  <c r="AF16" i="18"/>
  <c r="P16" i="1"/>
  <c r="AE16" i="1" s="1"/>
  <c r="AD16" i="1" s="1"/>
  <c r="Q16" i="1"/>
  <c r="AJ6" i="18"/>
  <c r="P106" i="1"/>
  <c r="AE106" i="1" s="1"/>
  <c r="AD106" i="1" s="1"/>
  <c r="Q106" i="1"/>
  <c r="AL18" i="18"/>
  <c r="P64" i="1"/>
  <c r="AE64" i="1" s="1"/>
  <c r="AD64" i="1" s="1"/>
  <c r="Q64" i="1"/>
  <c r="AD14" i="18"/>
  <c r="P34" i="1"/>
  <c r="AE34" i="1" s="1"/>
  <c r="AD34" i="1" s="1"/>
  <c r="Q34" i="1"/>
  <c r="AL8" i="18"/>
  <c r="P46" i="1"/>
  <c r="AE46" i="1" s="1"/>
  <c r="AD46" i="1" s="1"/>
  <c r="Q46" i="1"/>
  <c r="AL10" i="18"/>
  <c r="P28" i="1"/>
  <c r="AE28" i="1" s="1"/>
  <c r="AD28" i="1" s="1"/>
  <c r="Q28" i="1"/>
  <c r="AH8" i="18"/>
  <c r="P109" i="1"/>
  <c r="AE109" i="1" s="1"/>
  <c r="AD109" i="1" s="1"/>
  <c r="Q109" i="1"/>
  <c r="P76" i="1"/>
  <c r="AE76" i="1" s="1"/>
  <c r="AD76" i="1" s="1"/>
  <c r="Q76" i="1"/>
  <c r="AJ10" i="18"/>
  <c r="P40" i="1"/>
  <c r="AE40" i="1" s="1"/>
  <c r="AD40" i="1" s="1"/>
  <c r="Q40" i="1"/>
  <c r="AF10" i="18"/>
  <c r="P112" i="1"/>
  <c r="AE112" i="1" s="1"/>
  <c r="AD112" i="1" s="1"/>
  <c r="Q112" i="1"/>
  <c r="P88" i="1"/>
  <c r="AE88" i="1" s="1"/>
  <c r="AD88" i="1" s="1"/>
  <c r="Q88" i="1"/>
  <c r="AJ16" i="18"/>
  <c r="P55" i="1"/>
  <c r="AE55" i="1" s="1"/>
  <c r="AD55" i="1" s="1"/>
  <c r="Q55" i="1"/>
  <c r="AH12" i="18"/>
  <c r="P13" i="1"/>
  <c r="Q13" i="1"/>
  <c r="AH6" i="18"/>
  <c r="P121" i="1"/>
  <c r="AE121" i="1" s="1"/>
  <c r="AD121" i="1" s="1"/>
  <c r="Q121" i="1"/>
  <c r="P49" i="1"/>
  <c r="AE49" i="1" s="1"/>
  <c r="AD49" i="1" s="1"/>
  <c r="Q49" i="1"/>
  <c r="AD12" i="18"/>
  <c r="P115" i="1"/>
  <c r="AE115" i="1" s="1"/>
  <c r="AD115" i="1" s="1"/>
  <c r="Q115" i="1"/>
  <c r="P100" i="1"/>
  <c r="AE100" i="1" s="1"/>
  <c r="AD100" i="1" s="1"/>
  <c r="AH18" i="18"/>
  <c r="Q100" i="1"/>
  <c r="P67" i="1"/>
  <c r="AE67" i="1" s="1"/>
  <c r="AD67" i="1" s="1"/>
  <c r="Q67" i="1"/>
  <c r="AF14" i="18"/>
  <c r="P70" i="1"/>
  <c r="AE70" i="1" s="1"/>
  <c r="AD70" i="1" s="1"/>
  <c r="Q70" i="1"/>
  <c r="AH14" i="18"/>
  <c r="P61" i="1"/>
  <c r="AE61" i="1" s="1"/>
  <c r="AD61" i="1" s="1"/>
  <c r="Q61" i="1"/>
  <c r="AL12" i="18"/>
  <c r="P118" i="1"/>
  <c r="AE118" i="1" s="1"/>
  <c r="AD118" i="1" s="1"/>
  <c r="Q118" i="1"/>
  <c r="P19" i="1"/>
  <c r="AE19" i="1" s="1"/>
  <c r="AD19" i="1" s="1"/>
  <c r="Q19" i="1"/>
  <c r="AL6" i="18"/>
  <c r="P79" i="1"/>
  <c r="AE79" i="1" s="1"/>
  <c r="AD79" i="1" s="1"/>
  <c r="Q79" i="1"/>
  <c r="AD16" i="18"/>
  <c r="P73" i="1"/>
  <c r="AE73" i="1" s="1"/>
  <c r="AD73" i="1" s="1"/>
  <c r="Q73" i="1"/>
  <c r="AJ14" i="18"/>
  <c r="P31" i="1"/>
  <c r="AE31" i="1" s="1"/>
  <c r="AD31" i="1" s="1"/>
  <c r="Q31" i="1"/>
  <c r="AJ8" i="18"/>
  <c r="P103" i="1"/>
  <c r="AE103" i="1" s="1"/>
  <c r="AD103" i="1" s="1"/>
  <c r="AJ18" i="18"/>
  <c r="Q103" i="1"/>
  <c r="P91" i="1"/>
  <c r="AE91" i="1" s="1"/>
  <c r="AD91" i="1" s="1"/>
  <c r="Q91" i="1"/>
  <c r="AL16" i="18"/>
  <c r="P37" i="1"/>
  <c r="AE37" i="1" s="1"/>
  <c r="AD37" i="1" s="1"/>
  <c r="Q37" i="1"/>
  <c r="AD10" i="18"/>
  <c r="P94" i="1"/>
  <c r="Q94" i="1"/>
  <c r="AD18" i="18"/>
  <c r="P85" i="1"/>
  <c r="AE85" i="1" s="1"/>
  <c r="AD85" i="1" s="1"/>
  <c r="Q85" i="1"/>
  <c r="AH16" i="18"/>
  <c r="P43" i="1"/>
  <c r="AE43" i="1" s="1"/>
  <c r="AD43" i="1" s="1"/>
  <c r="Q43" i="1"/>
  <c r="P10" i="1"/>
  <c r="Q10" i="1"/>
  <c r="AF6" i="18"/>
  <c r="S154" i="19" l="1"/>
  <c r="J54" i="19"/>
  <c r="M204" i="19"/>
  <c r="V254" i="19"/>
  <c r="J254" i="19"/>
  <c r="P104" i="19"/>
  <c r="AF148" i="1"/>
  <c r="S204" i="19"/>
  <c r="S54" i="19"/>
  <c r="S254" i="19"/>
  <c r="P204" i="19"/>
  <c r="S104" i="19"/>
  <c r="P154" i="19"/>
  <c r="V54" i="19"/>
  <c r="J204" i="19"/>
  <c r="J154" i="19"/>
  <c r="V204" i="19"/>
  <c r="M104" i="19"/>
  <c r="M154" i="19"/>
  <c r="M254" i="19"/>
  <c r="V154" i="19"/>
  <c r="P254" i="19"/>
  <c r="P54" i="19"/>
  <c r="J104" i="19"/>
  <c r="V104" i="19"/>
  <c r="M54" i="19"/>
  <c r="S99" i="19"/>
  <c r="J99" i="19"/>
  <c r="M149" i="19"/>
  <c r="S199" i="19"/>
  <c r="M249" i="19"/>
  <c r="M49" i="19"/>
  <c r="AF133" i="1"/>
  <c r="M99" i="19"/>
  <c r="J49" i="19"/>
  <c r="S49" i="19"/>
  <c r="J149" i="19"/>
  <c r="V149" i="19"/>
  <c r="P149" i="19"/>
  <c r="J199" i="19"/>
  <c r="P99" i="19"/>
  <c r="V99" i="19"/>
  <c r="P249" i="19"/>
  <c r="P199" i="19"/>
  <c r="V199" i="19"/>
  <c r="V249" i="19"/>
  <c r="S149" i="19"/>
  <c r="M199" i="19"/>
  <c r="V49" i="19"/>
  <c r="P49" i="19"/>
  <c r="S249" i="19"/>
  <c r="J249" i="19"/>
  <c r="S148" i="19"/>
  <c r="J48" i="19"/>
  <c r="M98" i="19"/>
  <c r="S48" i="19"/>
  <c r="J148" i="19"/>
  <c r="P198" i="19"/>
  <c r="J98" i="19"/>
  <c r="V48" i="19"/>
  <c r="V98" i="19"/>
  <c r="S198" i="19"/>
  <c r="P148" i="19"/>
  <c r="V148" i="19"/>
  <c r="S248" i="19"/>
  <c r="P48" i="19"/>
  <c r="J248" i="19"/>
  <c r="M198" i="19"/>
  <c r="AF130" i="1"/>
  <c r="S98" i="19"/>
  <c r="M48" i="19"/>
  <c r="J198" i="19"/>
  <c r="P98" i="19"/>
  <c r="V248" i="19"/>
  <c r="M148" i="19"/>
  <c r="P248" i="19"/>
  <c r="V198" i="19"/>
  <c r="M248" i="19"/>
  <c r="S146" i="19"/>
  <c r="M96" i="19"/>
  <c r="J146" i="19"/>
  <c r="V196" i="19"/>
  <c r="P96" i="19"/>
  <c r="V246" i="19"/>
  <c r="P46" i="19"/>
  <c r="S246" i="19"/>
  <c r="M46" i="19"/>
  <c r="V46" i="19"/>
  <c r="P146" i="19"/>
  <c r="P246" i="19"/>
  <c r="S96" i="19"/>
  <c r="M146" i="19"/>
  <c r="AF124" i="1"/>
  <c r="S196" i="19"/>
  <c r="M196" i="19"/>
  <c r="J46" i="19"/>
  <c r="V96" i="19"/>
  <c r="P196" i="19"/>
  <c r="J196" i="19"/>
  <c r="V146" i="19"/>
  <c r="M246" i="19"/>
  <c r="S46" i="19"/>
  <c r="J96" i="19"/>
  <c r="J246" i="19"/>
  <c r="AF127" i="1"/>
  <c r="V197" i="19"/>
  <c r="V147" i="19"/>
  <c r="P147" i="19"/>
  <c r="J197" i="19"/>
  <c r="S97" i="19"/>
  <c r="M147" i="19"/>
  <c r="M197" i="19"/>
  <c r="S247" i="19"/>
  <c r="M47" i="19"/>
  <c r="J247" i="19"/>
  <c r="S147" i="19"/>
  <c r="S197" i="19"/>
  <c r="P47" i="19"/>
  <c r="P97" i="19"/>
  <c r="P247" i="19"/>
  <c r="S47" i="19"/>
  <c r="M97" i="19"/>
  <c r="J47" i="19"/>
  <c r="V247" i="19"/>
  <c r="V47" i="19"/>
  <c r="J97" i="19"/>
  <c r="M247" i="19"/>
  <c r="V97" i="19"/>
  <c r="J147" i="19"/>
  <c r="P197" i="19"/>
  <c r="P88" i="19"/>
  <c r="V88" i="19"/>
  <c r="P238" i="19"/>
  <c r="M238" i="19"/>
  <c r="P38" i="19"/>
  <c r="P188" i="19"/>
  <c r="M88" i="19"/>
  <c r="S138" i="19"/>
  <c r="J38" i="19"/>
  <c r="V38" i="19"/>
  <c r="M38" i="19"/>
  <c r="M188" i="19"/>
  <c r="V138" i="19"/>
  <c r="S238" i="19"/>
  <c r="P138" i="19"/>
  <c r="S188" i="19"/>
  <c r="V188" i="19"/>
  <c r="V238" i="19"/>
  <c r="S88" i="19"/>
  <c r="J88" i="19"/>
  <c r="M138" i="19"/>
  <c r="J188" i="19"/>
  <c r="S38" i="19"/>
  <c r="J138" i="19"/>
  <c r="V125" i="19"/>
  <c r="P75" i="19"/>
  <c r="S225" i="19"/>
  <c r="V175" i="19"/>
  <c r="P25" i="19"/>
  <c r="V225" i="19"/>
  <c r="V25" i="19"/>
  <c r="P175" i="19"/>
  <c r="J175" i="19"/>
  <c r="V75" i="19"/>
  <c r="P125" i="19"/>
  <c r="P225" i="19"/>
  <c r="S75" i="19"/>
  <c r="M75" i="19"/>
  <c r="J75" i="19"/>
  <c r="S25" i="19"/>
  <c r="M25" i="19"/>
  <c r="J125" i="19"/>
  <c r="S175" i="19"/>
  <c r="M175" i="19"/>
  <c r="M225" i="19"/>
  <c r="S125" i="19"/>
  <c r="M125" i="19"/>
  <c r="J25" i="19"/>
  <c r="V95" i="19"/>
  <c r="P245" i="19"/>
  <c r="P95" i="19"/>
  <c r="V195" i="19"/>
  <c r="V245" i="19"/>
  <c r="S195" i="19"/>
  <c r="M245" i="19"/>
  <c r="J95" i="19"/>
  <c r="S145" i="19"/>
  <c r="J45" i="19"/>
  <c r="M95" i="19"/>
  <c r="S45" i="19"/>
  <c r="J145" i="19"/>
  <c r="P195" i="19"/>
  <c r="S95" i="19"/>
  <c r="M45" i="19"/>
  <c r="P145" i="19"/>
  <c r="V145" i="19"/>
  <c r="S245" i="19"/>
  <c r="P45" i="19"/>
  <c r="J245" i="19"/>
  <c r="M195" i="19"/>
  <c r="M145" i="19"/>
  <c r="V45" i="19"/>
  <c r="J195" i="19"/>
  <c r="V144" i="19"/>
  <c r="M94" i="19"/>
  <c r="V194" i="19"/>
  <c r="P44" i="19"/>
  <c r="V244" i="19"/>
  <c r="S194" i="19"/>
  <c r="J94" i="19"/>
  <c r="M144" i="19"/>
  <c r="M244" i="19"/>
  <c r="V44" i="19"/>
  <c r="M194" i="19"/>
  <c r="V94" i="19"/>
  <c r="P144" i="19"/>
  <c r="P244" i="19"/>
  <c r="P194" i="19"/>
  <c r="S94" i="19"/>
  <c r="J194" i="19"/>
  <c r="S44" i="19"/>
  <c r="M44" i="19"/>
  <c r="J144" i="19"/>
  <c r="S244" i="19"/>
  <c r="P94" i="19"/>
  <c r="S144" i="19"/>
  <c r="J44" i="19"/>
  <c r="V193" i="19"/>
  <c r="V243" i="19"/>
  <c r="P93" i="19"/>
  <c r="P193" i="19"/>
  <c r="P143" i="19"/>
  <c r="V43" i="19"/>
  <c r="M43" i="19"/>
  <c r="S143" i="19"/>
  <c r="J43" i="19"/>
  <c r="J193" i="19"/>
  <c r="S43" i="19"/>
  <c r="J143" i="19"/>
  <c r="M93" i="19"/>
  <c r="M243" i="19"/>
  <c r="M143" i="19"/>
  <c r="S193" i="19"/>
  <c r="J93" i="19"/>
  <c r="P43" i="19"/>
  <c r="V143" i="19"/>
  <c r="S243" i="19"/>
  <c r="V93" i="19"/>
  <c r="P243" i="19"/>
  <c r="M193" i="19"/>
  <c r="S93" i="19"/>
  <c r="V192" i="19"/>
  <c r="S42" i="19"/>
  <c r="P42" i="19"/>
  <c r="M42" i="19"/>
  <c r="V242" i="19"/>
  <c r="J142" i="19"/>
  <c r="V142" i="19"/>
  <c r="S92" i="19"/>
  <c r="P92" i="19"/>
  <c r="M92" i="19"/>
  <c r="S242" i="19"/>
  <c r="J92" i="19"/>
  <c r="V92" i="19"/>
  <c r="S142" i="19"/>
  <c r="P142" i="19"/>
  <c r="M142" i="19"/>
  <c r="P242" i="19"/>
  <c r="J42" i="19"/>
  <c r="V42" i="19"/>
  <c r="S192" i="19"/>
  <c r="P192" i="19"/>
  <c r="M192" i="19"/>
  <c r="J192" i="19"/>
  <c r="M242" i="19"/>
  <c r="V91" i="19"/>
  <c r="P241" i="19"/>
  <c r="S191" i="19"/>
  <c r="P91" i="19"/>
  <c r="S41" i="19"/>
  <c r="V41" i="19"/>
  <c r="S141" i="19"/>
  <c r="J41" i="19"/>
  <c r="M241" i="19"/>
  <c r="M91" i="19"/>
  <c r="P41" i="19"/>
  <c r="P191" i="19"/>
  <c r="M141" i="19"/>
  <c r="S91" i="19"/>
  <c r="J91" i="19"/>
  <c r="J191" i="19"/>
  <c r="P141" i="19"/>
  <c r="V191" i="19"/>
  <c r="V141" i="19"/>
  <c r="S241" i="19"/>
  <c r="M41" i="19"/>
  <c r="M191" i="19"/>
  <c r="V241" i="19"/>
  <c r="J141" i="19"/>
  <c r="V40" i="19"/>
  <c r="J190" i="19"/>
  <c r="J90" i="19"/>
  <c r="V190" i="19"/>
  <c r="V240" i="19"/>
  <c r="S240" i="19"/>
  <c r="S190" i="19"/>
  <c r="M240" i="19"/>
  <c r="V90" i="19"/>
  <c r="S40" i="19"/>
  <c r="J140" i="19"/>
  <c r="P140" i="19"/>
  <c r="M90" i="19"/>
  <c r="M40" i="19"/>
  <c r="P90" i="19"/>
  <c r="P190" i="19"/>
  <c r="S90" i="19"/>
  <c r="S140" i="19"/>
  <c r="P40" i="19"/>
  <c r="V140" i="19"/>
  <c r="P240" i="19"/>
  <c r="M190" i="19"/>
  <c r="M140" i="19"/>
  <c r="J40" i="19"/>
  <c r="V189" i="19"/>
  <c r="V239" i="19"/>
  <c r="M139" i="19"/>
  <c r="S239" i="19"/>
  <c r="M189" i="19"/>
  <c r="P239" i="19"/>
  <c r="J139" i="19"/>
  <c r="V39" i="19"/>
  <c r="P89" i="19"/>
  <c r="V139" i="19"/>
  <c r="S189" i="19"/>
  <c r="M89" i="19"/>
  <c r="S39" i="19"/>
  <c r="P39" i="19"/>
  <c r="M39" i="19"/>
  <c r="P139" i="19"/>
  <c r="S89" i="19"/>
  <c r="P189" i="19"/>
  <c r="S139" i="19"/>
  <c r="J89" i="19"/>
  <c r="J39" i="19"/>
  <c r="J189" i="19"/>
  <c r="V89" i="19"/>
  <c r="M239" i="19"/>
  <c r="P137" i="19"/>
  <c r="M187" i="19"/>
  <c r="M87" i="19"/>
  <c r="M237" i="19"/>
  <c r="M37" i="19"/>
  <c r="S187" i="19"/>
  <c r="M137" i="19"/>
  <c r="V137" i="19"/>
  <c r="S237" i="19"/>
  <c r="V187" i="19"/>
  <c r="V237" i="19"/>
  <c r="J187" i="19"/>
  <c r="V87" i="19"/>
  <c r="P237" i="19"/>
  <c r="S87" i="19"/>
  <c r="J87" i="19"/>
  <c r="S37" i="19"/>
  <c r="J137" i="19"/>
  <c r="S137" i="19"/>
  <c r="J37" i="19"/>
  <c r="P87" i="19"/>
  <c r="P187" i="19"/>
  <c r="P37" i="19"/>
  <c r="V37" i="19"/>
  <c r="V185" i="19"/>
  <c r="V235" i="19"/>
  <c r="P185" i="19"/>
  <c r="V85" i="19"/>
  <c r="P235" i="19"/>
  <c r="P85" i="19"/>
  <c r="S35" i="19"/>
  <c r="J135" i="19"/>
  <c r="M185" i="19"/>
  <c r="S135" i="19"/>
  <c r="J35" i="19"/>
  <c r="M85" i="19"/>
  <c r="P35" i="19"/>
  <c r="V35" i="19"/>
  <c r="J185" i="19"/>
  <c r="P135" i="19"/>
  <c r="V135" i="19"/>
  <c r="S235" i="19"/>
  <c r="M35" i="19"/>
  <c r="S185" i="19"/>
  <c r="M235" i="19"/>
  <c r="M135" i="19"/>
  <c r="S85" i="19"/>
  <c r="J85" i="19"/>
  <c r="V184" i="19"/>
  <c r="S84" i="19"/>
  <c r="M84" i="19"/>
  <c r="S34" i="19"/>
  <c r="M34" i="19"/>
  <c r="P234" i="19"/>
  <c r="V134" i="19"/>
  <c r="S134" i="19"/>
  <c r="M134" i="19"/>
  <c r="S184" i="19"/>
  <c r="M184" i="19"/>
  <c r="J184" i="19"/>
  <c r="V84" i="19"/>
  <c r="P134" i="19"/>
  <c r="J134" i="19"/>
  <c r="P34" i="19"/>
  <c r="V234" i="19"/>
  <c r="J84" i="19"/>
  <c r="J34" i="19"/>
  <c r="V34" i="19"/>
  <c r="P184" i="19"/>
  <c r="M234" i="19"/>
  <c r="P84" i="19"/>
  <c r="S234" i="19"/>
  <c r="V83" i="19"/>
  <c r="P233" i="19"/>
  <c r="J183" i="19"/>
  <c r="V183" i="19"/>
  <c r="V233" i="19"/>
  <c r="S233" i="19"/>
  <c r="S133" i="19"/>
  <c r="J33" i="19"/>
  <c r="M233" i="19"/>
  <c r="S33" i="19"/>
  <c r="J133" i="19"/>
  <c r="V133" i="19"/>
  <c r="P133" i="19"/>
  <c r="S183" i="19"/>
  <c r="V33" i="19"/>
  <c r="P33" i="19"/>
  <c r="P83" i="19"/>
  <c r="S83" i="19"/>
  <c r="J83" i="19"/>
  <c r="M133" i="19"/>
  <c r="M183" i="19"/>
  <c r="P183" i="19"/>
  <c r="M33" i="19"/>
  <c r="M83" i="19"/>
  <c r="V182" i="19"/>
  <c r="S32" i="19"/>
  <c r="P32" i="19"/>
  <c r="M32" i="19"/>
  <c r="V232" i="19"/>
  <c r="J132" i="19"/>
  <c r="V132" i="19"/>
  <c r="M82" i="19"/>
  <c r="J82" i="19"/>
  <c r="S132" i="19"/>
  <c r="M132" i="19"/>
  <c r="P232" i="19"/>
  <c r="V32" i="19"/>
  <c r="S182" i="19"/>
  <c r="P182" i="19"/>
  <c r="M182" i="19"/>
  <c r="J182" i="19"/>
  <c r="M232" i="19"/>
  <c r="S82" i="19"/>
  <c r="P82" i="19"/>
  <c r="S232" i="19"/>
  <c r="V82" i="19"/>
  <c r="P132" i="19"/>
  <c r="J32" i="19"/>
  <c r="V181" i="19"/>
  <c r="S31" i="19"/>
  <c r="P31" i="19"/>
  <c r="S81" i="19"/>
  <c r="V81" i="19"/>
  <c r="P231" i="19"/>
  <c r="V31" i="19"/>
  <c r="J181" i="19"/>
  <c r="M81" i="19"/>
  <c r="P131" i="19"/>
  <c r="P181" i="19"/>
  <c r="J131" i="19"/>
  <c r="M131" i="19"/>
  <c r="M181" i="19"/>
  <c r="M31" i="19"/>
  <c r="P81" i="19"/>
  <c r="S131" i="19"/>
  <c r="J31" i="19"/>
  <c r="S181" i="19"/>
  <c r="M231" i="19"/>
  <c r="V231" i="19"/>
  <c r="S231" i="19"/>
  <c r="V131" i="19"/>
  <c r="J81" i="19"/>
  <c r="V130" i="19"/>
  <c r="V30" i="19"/>
  <c r="S80" i="19"/>
  <c r="M80" i="19"/>
  <c r="J80" i="19"/>
  <c r="S30" i="19"/>
  <c r="M30" i="19"/>
  <c r="J130" i="19"/>
  <c r="M180" i="19"/>
  <c r="M230" i="19"/>
  <c r="S130" i="19"/>
  <c r="M130" i="19"/>
  <c r="J30" i="19"/>
  <c r="P80" i="19"/>
  <c r="S230" i="19"/>
  <c r="V180" i="19"/>
  <c r="P30" i="19"/>
  <c r="V230" i="19"/>
  <c r="P180" i="19"/>
  <c r="J180" i="19"/>
  <c r="V80" i="19"/>
  <c r="P130" i="19"/>
  <c r="P230" i="19"/>
  <c r="S180" i="19"/>
  <c r="V79" i="19"/>
  <c r="P229" i="19"/>
  <c r="P179" i="19"/>
  <c r="V179" i="19"/>
  <c r="V229" i="19"/>
  <c r="P79" i="19"/>
  <c r="S129" i="19"/>
  <c r="J29" i="19"/>
  <c r="M179" i="19"/>
  <c r="S29" i="19"/>
  <c r="J129" i="19"/>
  <c r="M79" i="19"/>
  <c r="P129" i="19"/>
  <c r="V29" i="19"/>
  <c r="J179" i="19"/>
  <c r="P29" i="19"/>
  <c r="V129" i="19"/>
  <c r="S229" i="19"/>
  <c r="M129" i="19"/>
  <c r="S179" i="19"/>
  <c r="M229" i="19"/>
  <c r="M29" i="19"/>
  <c r="S79" i="19"/>
  <c r="J79" i="19"/>
  <c r="S128" i="19"/>
  <c r="M128" i="19"/>
  <c r="J28" i="19"/>
  <c r="S78" i="19"/>
  <c r="M78" i="19"/>
  <c r="J78" i="19"/>
  <c r="P128" i="19"/>
  <c r="P228" i="19"/>
  <c r="P78" i="19"/>
  <c r="M28" i="19"/>
  <c r="V28" i="19"/>
  <c r="J178" i="19"/>
  <c r="P28" i="19"/>
  <c r="V228" i="19"/>
  <c r="V178" i="19"/>
  <c r="S178" i="19"/>
  <c r="M178" i="19"/>
  <c r="M228" i="19"/>
  <c r="V78" i="19"/>
  <c r="V128" i="19"/>
  <c r="S228" i="19"/>
  <c r="S28" i="19"/>
  <c r="J128" i="19"/>
  <c r="P178" i="19"/>
  <c r="V127" i="19"/>
  <c r="S77" i="19"/>
  <c r="P77" i="19"/>
  <c r="M77" i="19"/>
  <c r="S227" i="19"/>
  <c r="J77" i="19"/>
  <c r="V77" i="19"/>
  <c r="S127" i="19"/>
  <c r="P127" i="19"/>
  <c r="M127" i="19"/>
  <c r="P227" i="19"/>
  <c r="J27" i="19"/>
  <c r="V27" i="19"/>
  <c r="S177" i="19"/>
  <c r="P177" i="19"/>
  <c r="M177" i="19"/>
  <c r="J177" i="19"/>
  <c r="M227" i="19"/>
  <c r="V177" i="19"/>
  <c r="S27" i="19"/>
  <c r="P27" i="19"/>
  <c r="M27" i="19"/>
  <c r="V227" i="19"/>
  <c r="J127" i="19"/>
  <c r="V126" i="19"/>
  <c r="S226" i="19"/>
  <c r="P126" i="19"/>
  <c r="V26" i="19"/>
  <c r="J176" i="19"/>
  <c r="P26" i="19"/>
  <c r="V76" i="19"/>
  <c r="P176" i="19"/>
  <c r="V226" i="19"/>
  <c r="S126" i="19"/>
  <c r="M176" i="19"/>
  <c r="J126" i="19"/>
  <c r="S76" i="19"/>
  <c r="J76" i="19"/>
  <c r="M126" i="19"/>
  <c r="S176" i="19"/>
  <c r="M226" i="19"/>
  <c r="M26" i="19"/>
  <c r="P76" i="19"/>
  <c r="P226" i="19"/>
  <c r="V176" i="19"/>
  <c r="M76" i="19"/>
  <c r="J26" i="19"/>
  <c r="S26" i="19"/>
  <c r="V173" i="19"/>
  <c r="S23" i="19"/>
  <c r="P23" i="19"/>
  <c r="M23" i="19"/>
  <c r="V223" i="19"/>
  <c r="J123" i="19"/>
  <c r="S123" i="19"/>
  <c r="P123" i="19"/>
  <c r="J23" i="19"/>
  <c r="S173" i="19"/>
  <c r="M173" i="19"/>
  <c r="M223" i="19"/>
  <c r="V123" i="19"/>
  <c r="S73" i="19"/>
  <c r="P73" i="19"/>
  <c r="M73" i="19"/>
  <c r="S223" i="19"/>
  <c r="J73" i="19"/>
  <c r="V73" i="19"/>
  <c r="M123" i="19"/>
  <c r="P223" i="19"/>
  <c r="V23" i="19"/>
  <c r="P173" i="19"/>
  <c r="J173" i="19"/>
  <c r="V122" i="19"/>
  <c r="M122" i="19"/>
  <c r="V222" i="19"/>
  <c r="V22" i="19"/>
  <c r="J172" i="19"/>
  <c r="P72" i="19"/>
  <c r="J22" i="19"/>
  <c r="P172" i="19"/>
  <c r="J72" i="19"/>
  <c r="P22" i="19"/>
  <c r="M172" i="19"/>
  <c r="V172" i="19"/>
  <c r="V72" i="19"/>
  <c r="P222" i="19"/>
  <c r="J122" i="19"/>
  <c r="S172" i="19"/>
  <c r="M222" i="19"/>
  <c r="M72" i="19"/>
  <c r="S122" i="19"/>
  <c r="S72" i="19"/>
  <c r="S22" i="19"/>
  <c r="P122" i="19"/>
  <c r="S222" i="19"/>
  <c r="M22" i="19"/>
  <c r="V121" i="19"/>
  <c r="P71" i="19"/>
  <c r="S221" i="19"/>
  <c r="V171" i="19"/>
  <c r="P21" i="19"/>
  <c r="V221" i="19"/>
  <c r="J171" i="19"/>
  <c r="P221" i="19"/>
  <c r="S71" i="19"/>
  <c r="J71" i="19"/>
  <c r="M21" i="19"/>
  <c r="S171" i="19"/>
  <c r="S121" i="19"/>
  <c r="J21" i="19"/>
  <c r="V21" i="19"/>
  <c r="P171" i="19"/>
  <c r="V71" i="19"/>
  <c r="P121" i="19"/>
  <c r="M71" i="19"/>
  <c r="S21" i="19"/>
  <c r="J121" i="19"/>
  <c r="M171" i="19"/>
  <c r="M221" i="19"/>
  <c r="M121" i="19"/>
  <c r="V20" i="19"/>
  <c r="P170" i="19"/>
  <c r="S220" i="19"/>
  <c r="V70" i="19"/>
  <c r="P70" i="19"/>
  <c r="J170" i="19"/>
  <c r="S70" i="19"/>
  <c r="M70" i="19"/>
  <c r="J120" i="19"/>
  <c r="S20" i="19"/>
  <c r="M20" i="19"/>
  <c r="J70" i="19"/>
  <c r="S170" i="19"/>
  <c r="M170" i="19"/>
  <c r="V170" i="19"/>
  <c r="S120" i="19"/>
  <c r="M120" i="19"/>
  <c r="J20" i="19"/>
  <c r="P120" i="19"/>
  <c r="V220" i="19"/>
  <c r="V120" i="19"/>
  <c r="P20" i="19"/>
  <c r="P220" i="19"/>
  <c r="M220" i="19"/>
  <c r="V169" i="19"/>
  <c r="V219" i="19"/>
  <c r="P69" i="19"/>
  <c r="V69" i="19"/>
  <c r="P219" i="19"/>
  <c r="P169" i="19"/>
  <c r="S19" i="19"/>
  <c r="J119" i="19"/>
  <c r="M69" i="19"/>
  <c r="S119" i="19"/>
  <c r="J19" i="19"/>
  <c r="M169" i="19"/>
  <c r="P19" i="19"/>
  <c r="V119" i="19"/>
  <c r="S219" i="19"/>
  <c r="P119" i="19"/>
  <c r="V19" i="19"/>
  <c r="J169" i="19"/>
  <c r="M19" i="19"/>
  <c r="S69" i="19"/>
  <c r="J69" i="19"/>
  <c r="M119" i="19"/>
  <c r="S169" i="19"/>
  <c r="M219" i="19"/>
  <c r="S68" i="19"/>
  <c r="M68" i="19"/>
  <c r="J68" i="19"/>
  <c r="S18" i="19"/>
  <c r="M18" i="19"/>
  <c r="J118" i="19"/>
  <c r="P68" i="19"/>
  <c r="S218" i="19"/>
  <c r="P18" i="19"/>
  <c r="P168" i="19"/>
  <c r="J168" i="19"/>
  <c r="P118" i="19"/>
  <c r="S168" i="19"/>
  <c r="M168" i="19"/>
  <c r="M218" i="19"/>
  <c r="S118" i="19"/>
  <c r="M118" i="19"/>
  <c r="J18" i="19"/>
  <c r="V118" i="19"/>
  <c r="V168" i="19"/>
  <c r="V218" i="19"/>
  <c r="V18" i="19"/>
  <c r="V68" i="19"/>
  <c r="P218" i="19"/>
  <c r="S117" i="19"/>
  <c r="J17" i="19"/>
  <c r="M67" i="19"/>
  <c r="P167" i="19"/>
  <c r="S17" i="19"/>
  <c r="J117" i="19"/>
  <c r="P117" i="19"/>
  <c r="V117" i="19"/>
  <c r="S217" i="19"/>
  <c r="J167" i="19"/>
  <c r="P17" i="19"/>
  <c r="V17" i="19"/>
  <c r="M117" i="19"/>
  <c r="S67" i="19"/>
  <c r="J67" i="19"/>
  <c r="M217" i="19"/>
  <c r="M17" i="19"/>
  <c r="M167" i="19"/>
  <c r="V67" i="19"/>
  <c r="P217" i="19"/>
  <c r="P67" i="19"/>
  <c r="S167" i="19"/>
  <c r="V167" i="19"/>
  <c r="V217" i="19"/>
  <c r="V166" i="19"/>
  <c r="V116" i="19"/>
  <c r="V66" i="19"/>
  <c r="V16" i="19"/>
  <c r="S16" i="19"/>
  <c r="S66" i="19"/>
  <c r="S116" i="19"/>
  <c r="S166" i="19"/>
  <c r="P16" i="19"/>
  <c r="P66" i="19"/>
  <c r="P116" i="19"/>
  <c r="P166" i="19"/>
  <c r="M16" i="19"/>
  <c r="M66" i="19"/>
  <c r="M116" i="19"/>
  <c r="M166" i="19"/>
  <c r="V216" i="19"/>
  <c r="S216" i="19"/>
  <c r="P216" i="19"/>
  <c r="J166" i="19"/>
  <c r="J116" i="19"/>
  <c r="J66" i="19"/>
  <c r="J16" i="19"/>
  <c r="M216" i="19"/>
  <c r="V165" i="19"/>
  <c r="M15" i="19"/>
  <c r="J15" i="19"/>
  <c r="S165" i="19"/>
  <c r="M165" i="19"/>
  <c r="M215" i="19"/>
  <c r="J115" i="19"/>
  <c r="J65" i="19"/>
  <c r="V65" i="19"/>
  <c r="M115" i="19"/>
  <c r="V115" i="19"/>
  <c r="P65" i="19"/>
  <c r="S215" i="19"/>
  <c r="P15" i="19"/>
  <c r="S65" i="19"/>
  <c r="S15" i="19"/>
  <c r="V215" i="19"/>
  <c r="V15" i="19"/>
  <c r="P165" i="19"/>
  <c r="J165" i="19"/>
  <c r="P115" i="19"/>
  <c r="S115" i="19"/>
  <c r="M65" i="19"/>
  <c r="P215" i="19"/>
  <c r="J14" i="19"/>
  <c r="V114" i="19"/>
  <c r="S64" i="19"/>
  <c r="P64" i="19"/>
  <c r="M64" i="19"/>
  <c r="S214" i="19"/>
  <c r="J64" i="19"/>
  <c r="V64" i="19"/>
  <c r="S114" i="19"/>
  <c r="P114" i="19"/>
  <c r="M114" i="19"/>
  <c r="P214" i="19"/>
  <c r="M214" i="19"/>
  <c r="V14" i="19"/>
  <c r="S164" i="19"/>
  <c r="P164" i="19"/>
  <c r="M164" i="19"/>
  <c r="J164" i="19"/>
  <c r="V164" i="19"/>
  <c r="S14" i="19"/>
  <c r="P14" i="19"/>
  <c r="M14" i="19"/>
  <c r="V214" i="19"/>
  <c r="J114" i="19"/>
  <c r="V63" i="19"/>
  <c r="P213" i="19"/>
  <c r="M163" i="19"/>
  <c r="V163" i="19"/>
  <c r="V213" i="19"/>
  <c r="S63" i="19"/>
  <c r="V13" i="19"/>
  <c r="S113" i="19"/>
  <c r="J13" i="19"/>
  <c r="J163" i="19"/>
  <c r="S13" i="19"/>
  <c r="J113" i="19"/>
  <c r="P63" i="19"/>
  <c r="P163" i="19"/>
  <c r="M13" i="19"/>
  <c r="V113" i="19"/>
  <c r="P113" i="19"/>
  <c r="S163" i="19"/>
  <c r="M213" i="19"/>
  <c r="P13" i="19"/>
  <c r="J63" i="19"/>
  <c r="M63" i="19"/>
  <c r="M113" i="19"/>
  <c r="S213" i="19"/>
  <c r="P111" i="19"/>
  <c r="M111" i="19"/>
  <c r="M11" i="19"/>
  <c r="S161" i="19"/>
  <c r="M211" i="19"/>
  <c r="M61" i="19"/>
  <c r="S11" i="19"/>
  <c r="V61" i="19"/>
  <c r="P211" i="19"/>
  <c r="V211" i="19"/>
  <c r="P161" i="19"/>
  <c r="V111" i="19"/>
  <c r="S211" i="19"/>
  <c r="S111" i="19"/>
  <c r="J11" i="19"/>
  <c r="J111" i="19"/>
  <c r="M161" i="19"/>
  <c r="S61" i="19"/>
  <c r="J61" i="19"/>
  <c r="P11" i="19"/>
  <c r="V11" i="19"/>
  <c r="J161" i="19"/>
  <c r="P61" i="19"/>
  <c r="V161" i="19"/>
  <c r="V160" i="19"/>
  <c r="S10" i="19"/>
  <c r="P10" i="19"/>
  <c r="M10" i="19"/>
  <c r="V210" i="19"/>
  <c r="J110" i="19"/>
  <c r="V110" i="19"/>
  <c r="S60" i="19"/>
  <c r="P60" i="19"/>
  <c r="M60" i="19"/>
  <c r="S210" i="19"/>
  <c r="J60" i="19"/>
  <c r="V60" i="19"/>
  <c r="S110" i="19"/>
  <c r="P110" i="19"/>
  <c r="M110" i="19"/>
  <c r="P210" i="19"/>
  <c r="J10" i="19"/>
  <c r="V10" i="19"/>
  <c r="S160" i="19"/>
  <c r="P160" i="19"/>
  <c r="M160" i="19"/>
  <c r="J160" i="19"/>
  <c r="M210" i="19"/>
  <c r="J216" i="19"/>
  <c r="AF37" i="1"/>
  <c r="J225" i="19"/>
  <c r="AF61" i="1"/>
  <c r="J239" i="19"/>
  <c r="AF103" i="1"/>
  <c r="AE15" i="1"/>
  <c r="AD15" i="1" s="1"/>
  <c r="AE14" i="1"/>
  <c r="AD14" i="1" s="1"/>
  <c r="AE13" i="1"/>
  <c r="AD13" i="1" s="1"/>
  <c r="J213" i="19"/>
  <c r="AF28" i="1"/>
  <c r="J232" i="19"/>
  <c r="AF82" i="1"/>
  <c r="J215" i="19"/>
  <c r="AF34" i="1"/>
  <c r="J217" i="19"/>
  <c r="AF40" i="1"/>
  <c r="AF91" i="1"/>
  <c r="J235" i="19"/>
  <c r="J228" i="19"/>
  <c r="AF70" i="1"/>
  <c r="J226" i="19"/>
  <c r="AF64" i="1"/>
  <c r="AF106" i="1"/>
  <c r="J240" i="19"/>
  <c r="J214" i="19"/>
  <c r="AF31" i="1"/>
  <c r="AF100" i="1"/>
  <c r="J238" i="19"/>
  <c r="J243" i="19"/>
  <c r="AF115" i="1"/>
  <c r="AF55" i="1"/>
  <c r="J223" i="19"/>
  <c r="J220" i="19"/>
  <c r="AF46" i="1"/>
  <c r="J211" i="19"/>
  <c r="AF22" i="1"/>
  <c r="J233" i="19"/>
  <c r="AF85" i="1"/>
  <c r="J231" i="19"/>
  <c r="AF79" i="1"/>
  <c r="AE12" i="1"/>
  <c r="AD12" i="1" s="1"/>
  <c r="AE11" i="1"/>
  <c r="AD11" i="1" s="1"/>
  <c r="AE10" i="1"/>
  <c r="AD10" i="1" s="1"/>
  <c r="J218" i="19"/>
  <c r="AF43" i="1"/>
  <c r="J210" i="19"/>
  <c r="AF19" i="1"/>
  <c r="J244" i="19"/>
  <c r="AF118" i="1"/>
  <c r="AF121" i="1"/>
  <c r="J219" i="19"/>
  <c r="AF97" i="1"/>
  <c r="J237" i="19"/>
  <c r="J227" i="19"/>
  <c r="AF67" i="1"/>
  <c r="AF76" i="1"/>
  <c r="J230" i="19"/>
  <c r="J241" i="19"/>
  <c r="AF109" i="1"/>
  <c r="AE17" i="1"/>
  <c r="AD17" i="1" s="1"/>
  <c r="AE18" i="1"/>
  <c r="AD18" i="1" s="1"/>
  <c r="AF73" i="1"/>
  <c r="J229" i="19"/>
  <c r="AF49" i="1"/>
  <c r="J221" i="19"/>
  <c r="J234" i="19"/>
  <c r="AF88" i="1"/>
  <c r="J242" i="19"/>
  <c r="AF112" i="1"/>
  <c r="J222" i="19"/>
  <c r="AF52" i="1"/>
  <c r="W10" i="1"/>
  <c r="AA10" i="1" s="1"/>
  <c r="W13" i="1"/>
  <c r="AA13" i="1" s="1"/>
  <c r="W16" i="1"/>
  <c r="AA16" i="1" s="1"/>
  <c r="W7" i="19" l="1"/>
  <c r="K157" i="19"/>
  <c r="Q7" i="19"/>
  <c r="W107" i="19"/>
  <c r="T207" i="19"/>
  <c r="Q107" i="19"/>
  <c r="T157" i="19"/>
  <c r="N207" i="19"/>
  <c r="N7" i="19"/>
  <c r="T57" i="19"/>
  <c r="K57" i="19"/>
  <c r="N107" i="19"/>
  <c r="Q157" i="19"/>
  <c r="W157" i="19"/>
  <c r="W207" i="19"/>
  <c r="Q57" i="19"/>
  <c r="W57" i="19"/>
  <c r="Q207" i="19"/>
  <c r="N157" i="19"/>
  <c r="T7" i="19"/>
  <c r="K107" i="19"/>
  <c r="N57" i="19"/>
  <c r="T107" i="19"/>
  <c r="K7" i="19"/>
  <c r="U158" i="19"/>
  <c r="O158" i="19"/>
  <c r="X158" i="19"/>
  <c r="R8" i="19"/>
  <c r="X208" i="19"/>
  <c r="O208" i="19"/>
  <c r="X108" i="19"/>
  <c r="R58" i="19"/>
  <c r="U208" i="19"/>
  <c r="X58" i="19"/>
  <c r="R108" i="19"/>
  <c r="R208" i="19"/>
  <c r="X8" i="19"/>
  <c r="R158" i="19"/>
  <c r="L158" i="19"/>
  <c r="U8" i="19"/>
  <c r="O8" i="19"/>
  <c r="L108" i="19"/>
  <c r="U58" i="19"/>
  <c r="O58" i="19"/>
  <c r="L58" i="19"/>
  <c r="U108" i="19"/>
  <c r="O108" i="19"/>
  <c r="L8" i="19"/>
  <c r="X157" i="19"/>
  <c r="X207" i="19"/>
  <c r="R57" i="19"/>
  <c r="X57" i="19"/>
  <c r="R207" i="19"/>
  <c r="R157" i="19"/>
  <c r="U7" i="19"/>
  <c r="L107" i="19"/>
  <c r="O57" i="19"/>
  <c r="U107" i="19"/>
  <c r="L7" i="19"/>
  <c r="O157" i="19"/>
  <c r="R7" i="19"/>
  <c r="X107" i="19"/>
  <c r="U207" i="19"/>
  <c r="R107" i="19"/>
  <c r="X7" i="19"/>
  <c r="L157" i="19"/>
  <c r="O7" i="19"/>
  <c r="U57" i="19"/>
  <c r="L57" i="19"/>
  <c r="O107" i="19"/>
  <c r="U157" i="19"/>
  <c r="O207" i="19"/>
  <c r="T108" i="19"/>
  <c r="N108" i="19"/>
  <c r="K8" i="19"/>
  <c r="N58" i="19"/>
  <c r="T58" i="19"/>
  <c r="N208" i="19"/>
  <c r="W158" i="19"/>
  <c r="Q8" i="19"/>
  <c r="W208" i="19"/>
  <c r="W8" i="19"/>
  <c r="N158" i="19"/>
  <c r="Q158" i="19"/>
  <c r="W58" i="19"/>
  <c r="Q108" i="19"/>
  <c r="Q208" i="19"/>
  <c r="T158" i="19"/>
  <c r="K58" i="19"/>
  <c r="T208" i="19"/>
  <c r="T8" i="19"/>
  <c r="N8" i="19"/>
  <c r="K108" i="19"/>
  <c r="Q58" i="19"/>
  <c r="W108" i="19"/>
  <c r="K158" i="19"/>
  <c r="W109" i="19"/>
  <c r="T209" i="19"/>
  <c r="Q9" i="19"/>
  <c r="W9" i="19"/>
  <c r="K159" i="19"/>
  <c r="Q109" i="19"/>
  <c r="T59" i="19"/>
  <c r="K59" i="19"/>
  <c r="N9" i="19"/>
  <c r="T159" i="19"/>
  <c r="N209" i="19"/>
  <c r="N109" i="19"/>
  <c r="Q59" i="19"/>
  <c r="W159" i="19"/>
  <c r="W209" i="19"/>
  <c r="Q159" i="19"/>
  <c r="W59" i="19"/>
  <c r="Q209" i="19"/>
  <c r="N59" i="19"/>
  <c r="T9" i="19"/>
  <c r="K109" i="19"/>
  <c r="N159" i="19"/>
  <c r="T109" i="19"/>
  <c r="K9" i="19"/>
  <c r="X159" i="19"/>
  <c r="X209" i="19"/>
  <c r="R159" i="19"/>
  <c r="X59" i="19"/>
  <c r="U9" i="19"/>
  <c r="L109" i="19"/>
  <c r="O159" i="19"/>
  <c r="U109" i="19"/>
  <c r="L9" i="19"/>
  <c r="O59" i="19"/>
  <c r="R9" i="19"/>
  <c r="X9" i="19"/>
  <c r="L159" i="19"/>
  <c r="R109" i="19"/>
  <c r="X109" i="19"/>
  <c r="U209" i="19"/>
  <c r="R59" i="19"/>
  <c r="O9" i="19"/>
  <c r="U159" i="19"/>
  <c r="O209" i="19"/>
  <c r="O109" i="19"/>
  <c r="U59" i="19"/>
  <c r="L59" i="19"/>
  <c r="R209" i="19"/>
  <c r="AF14" i="1"/>
  <c r="K208" i="19"/>
  <c r="L208" i="19"/>
  <c r="AF15" i="1"/>
  <c r="K209" i="19"/>
  <c r="AF17" i="1"/>
  <c r="L209" i="19"/>
  <c r="AF18" i="1"/>
  <c r="AF11" i="1"/>
  <c r="K207" i="19"/>
  <c r="AF12" i="1"/>
  <c r="L207" i="19"/>
  <c r="AB7" i="1"/>
  <c r="AC7" i="1" l="1"/>
  <c r="AB10" i="1" l="1"/>
  <c r="V57" i="19" l="1"/>
  <c r="S107" i="19"/>
  <c r="P107" i="19"/>
  <c r="M107" i="19"/>
  <c r="P207" i="19"/>
  <c r="J7" i="19"/>
  <c r="V7" i="19"/>
  <c r="S157" i="19"/>
  <c r="P157" i="19"/>
  <c r="M157" i="19"/>
  <c r="J157" i="19"/>
  <c r="M207" i="19"/>
  <c r="V157" i="19"/>
  <c r="S7" i="19"/>
  <c r="P7" i="19"/>
  <c r="M7" i="19"/>
  <c r="V207" i="19"/>
  <c r="J107" i="19"/>
  <c r="V107" i="19"/>
  <c r="S57" i="19"/>
  <c r="P57" i="19"/>
  <c r="M57" i="19"/>
  <c r="S207" i="19"/>
  <c r="J57" i="19"/>
  <c r="J207" i="19"/>
  <c r="AF10" i="1"/>
  <c r="AC10" i="1"/>
  <c r="AB13" i="1" s="1"/>
  <c r="V58" i="19" l="1"/>
  <c r="S8" i="19"/>
  <c r="S108" i="19"/>
  <c r="P8" i="19"/>
  <c r="P108" i="19"/>
  <c r="M8" i="19"/>
  <c r="M108" i="19"/>
  <c r="V208" i="19"/>
  <c r="P208" i="19"/>
  <c r="J108" i="19"/>
  <c r="J8" i="19"/>
  <c r="V158" i="19"/>
  <c r="V108" i="19"/>
  <c r="V8" i="19"/>
  <c r="S58" i="19"/>
  <c r="S158" i="19"/>
  <c r="P58" i="19"/>
  <c r="P158" i="19"/>
  <c r="M58" i="19"/>
  <c r="M158" i="19"/>
  <c r="S208" i="19"/>
  <c r="J158" i="19"/>
  <c r="J58" i="19"/>
  <c r="M208" i="19"/>
  <c r="J208" i="19"/>
  <c r="AF13" i="1"/>
  <c r="AC13" i="1"/>
  <c r="AC16" i="1" l="1"/>
  <c r="AB16" i="1" l="1"/>
  <c r="V59" i="19" l="1"/>
  <c r="S109" i="19"/>
  <c r="P109" i="19"/>
  <c r="M109" i="19"/>
  <c r="P209" i="19"/>
  <c r="J9" i="19"/>
  <c r="V109" i="19"/>
  <c r="S59" i="19"/>
  <c r="P59" i="19"/>
  <c r="M59" i="19"/>
  <c r="S209" i="19"/>
  <c r="J59" i="19"/>
  <c r="V159" i="19"/>
  <c r="S9" i="19"/>
  <c r="P9" i="19"/>
  <c r="M9" i="19"/>
  <c r="V209" i="19"/>
  <c r="J109" i="19"/>
  <c r="V9" i="19"/>
  <c r="S159" i="19"/>
  <c r="P159" i="19"/>
  <c r="M159" i="19"/>
  <c r="J159" i="19"/>
  <c r="M209" i="19"/>
  <c r="J209" i="19"/>
  <c r="AF16" i="1"/>
  <c r="N7" i="1"/>
  <c r="O7" i="1" s="1"/>
  <c r="J26" i="18" l="1"/>
  <c r="AX26" i="18"/>
  <c r="J46" i="18"/>
  <c r="T46" i="18"/>
  <c r="AD46" i="18"/>
  <c r="AX46" i="18"/>
  <c r="J66" i="18"/>
  <c r="T66" i="18"/>
  <c r="AD66" i="18"/>
  <c r="AX66" i="18"/>
  <c r="AN66" i="18"/>
  <c r="AN6" i="18"/>
  <c r="AD26" i="18"/>
  <c r="J6" i="18"/>
  <c r="AN46" i="18"/>
  <c r="J86" i="18"/>
  <c r="T86" i="18"/>
  <c r="AD86" i="18"/>
  <c r="AX86" i="18"/>
  <c r="AX6" i="18"/>
  <c r="T6" i="18"/>
  <c r="T26" i="18"/>
  <c r="AN26" i="18"/>
  <c r="AN86" i="18"/>
  <c r="AH10" i="18"/>
  <c r="AF8" i="18"/>
  <c r="AL14" i="18"/>
  <c r="AJ12" i="18"/>
  <c r="AD6" i="18"/>
  <c r="AE58" i="1"/>
  <c r="AD58" i="1" s="1"/>
  <c r="AE94" i="1"/>
  <c r="AD94" i="1" s="1"/>
  <c r="AE25" i="1"/>
  <c r="AD25" i="1" s="1"/>
  <c r="P7" i="1"/>
  <c r="Q7" i="1"/>
  <c r="V124" i="19" l="1"/>
  <c r="S224" i="19"/>
  <c r="P174" i="19"/>
  <c r="V74" i="19"/>
  <c r="P224" i="19"/>
  <c r="P24" i="19"/>
  <c r="J24" i="19"/>
  <c r="V224" i="19"/>
  <c r="M124" i="19"/>
  <c r="S74" i="19"/>
  <c r="J74" i="19"/>
  <c r="M174" i="19"/>
  <c r="S124" i="19"/>
  <c r="M24" i="19"/>
  <c r="P74" i="19"/>
  <c r="V24" i="19"/>
  <c r="J174" i="19"/>
  <c r="P124" i="19"/>
  <c r="V174" i="19"/>
  <c r="M224" i="19"/>
  <c r="J124" i="19"/>
  <c r="M74" i="19"/>
  <c r="S174" i="19"/>
  <c r="S24" i="19"/>
  <c r="V36" i="19"/>
  <c r="S186" i="19"/>
  <c r="M236" i="19"/>
  <c r="M36" i="19"/>
  <c r="S86" i="19"/>
  <c r="J86" i="19"/>
  <c r="M136" i="19"/>
  <c r="S36" i="19"/>
  <c r="J136" i="19"/>
  <c r="S136" i="19"/>
  <c r="P36" i="19"/>
  <c r="V136" i="19"/>
  <c r="P136" i="19"/>
  <c r="P186" i="19"/>
  <c r="V186" i="19"/>
  <c r="V236" i="19"/>
  <c r="P86" i="19"/>
  <c r="V86" i="19"/>
  <c r="P236" i="19"/>
  <c r="M186" i="19"/>
  <c r="M86" i="19"/>
  <c r="J36" i="19"/>
  <c r="J186" i="19"/>
  <c r="S236" i="19"/>
  <c r="V112" i="19"/>
  <c r="J62" i="19"/>
  <c r="S12" i="19"/>
  <c r="M12" i="19"/>
  <c r="J112" i="19"/>
  <c r="P162" i="19"/>
  <c r="P112" i="19"/>
  <c r="J162" i="19"/>
  <c r="S162" i="19"/>
  <c r="M212" i="19"/>
  <c r="S112" i="19"/>
  <c r="M112" i="19"/>
  <c r="J12" i="19"/>
  <c r="M62" i="19"/>
  <c r="S212" i="19"/>
  <c r="V62" i="19"/>
  <c r="P212" i="19"/>
  <c r="S62" i="19"/>
  <c r="P62" i="19"/>
  <c r="V162" i="19"/>
  <c r="P12" i="19"/>
  <c r="V212" i="19"/>
  <c r="V12" i="19"/>
  <c r="M162" i="19"/>
  <c r="J212" i="19"/>
  <c r="J224" i="19"/>
  <c r="J236" i="19"/>
  <c r="AF94" i="1"/>
  <c r="AF25" i="1"/>
  <c r="AF58" i="1"/>
  <c r="AE7" i="1"/>
  <c r="AD7" i="1" s="1"/>
  <c r="AE9" i="1"/>
  <c r="AD9" i="1" s="1"/>
  <c r="AE8" i="1"/>
  <c r="AD8" i="1" s="1"/>
  <c r="W6" i="19" l="1"/>
  <c r="T156" i="19"/>
  <c r="Q156" i="19"/>
  <c r="N156" i="19"/>
  <c r="K156" i="19"/>
  <c r="N206" i="19"/>
  <c r="W156" i="19"/>
  <c r="T6" i="19"/>
  <c r="Q6" i="19"/>
  <c r="N6" i="19"/>
  <c r="W206" i="19"/>
  <c r="K106" i="19"/>
  <c r="W106" i="19"/>
  <c r="T56" i="19"/>
  <c r="Q56" i="19"/>
  <c r="N56" i="19"/>
  <c r="T206" i="19"/>
  <c r="K56" i="19"/>
  <c r="W56" i="19"/>
  <c r="T106" i="19"/>
  <c r="Q106" i="19"/>
  <c r="N106" i="19"/>
  <c r="Q206" i="19"/>
  <c r="K6" i="19"/>
  <c r="X56" i="19"/>
  <c r="U106" i="19"/>
  <c r="R106" i="19"/>
  <c r="O106" i="19"/>
  <c r="L156" i="19"/>
  <c r="O206" i="19"/>
  <c r="X206" i="19"/>
  <c r="X6" i="19"/>
  <c r="U156" i="19"/>
  <c r="R156" i="19"/>
  <c r="O156" i="19"/>
  <c r="L106" i="19"/>
  <c r="X156" i="19"/>
  <c r="U6" i="19"/>
  <c r="R6" i="19"/>
  <c r="O6" i="19"/>
  <c r="U206" i="19"/>
  <c r="L56" i="19"/>
  <c r="X106" i="19"/>
  <c r="U56" i="19"/>
  <c r="R56" i="19"/>
  <c r="O56" i="19"/>
  <c r="R206" i="19"/>
  <c r="L6" i="19"/>
  <c r="V56" i="19"/>
  <c r="S106" i="19"/>
  <c r="P106" i="19"/>
  <c r="M106" i="19"/>
  <c r="P206" i="19"/>
  <c r="J6" i="19"/>
  <c r="V156" i="19"/>
  <c r="M6" i="19"/>
  <c r="J106" i="19"/>
  <c r="V106" i="19"/>
  <c r="P56" i="19"/>
  <c r="S206" i="19"/>
  <c r="V6" i="19"/>
  <c r="S156" i="19"/>
  <c r="P156" i="19"/>
  <c r="M156" i="19"/>
  <c r="J156" i="19"/>
  <c r="M206" i="19"/>
  <c r="S6" i="19"/>
  <c r="P6" i="19"/>
  <c r="V206" i="19"/>
  <c r="S56" i="19"/>
  <c r="M56" i="19"/>
  <c r="J56" i="19"/>
  <c r="L206" i="19"/>
  <c r="K206" i="19"/>
  <c r="J206" i="19"/>
  <c r="AF9" i="1"/>
  <c r="AF8" i="1"/>
  <c r="AF7" i="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<sst xmlns="http://schemas.openxmlformats.org/spreadsheetml/2006/main" count="1698" uniqueCount="573">
  <si>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</si>
  <si>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</si>
  <si>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</si>
  <si>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</si>
  <si>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</si>
  <si>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</si>
  <si>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</si>
  <si>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</si>
  <si>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</si>
  <si>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</si>
  <si>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</si>
  <si>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</si>
  <si>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</si>
  <si>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</si>
  <si>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</si>
  <si>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</si>
  <si>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</si>
  <si>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</si>
  <si>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</si>
  <si>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</si>
  <si>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</si>
  <si>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</si>
  <si>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</si>
  <si>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</si>
  <si>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</si>
  <si>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</si>
  <si>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</si>
  <si>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</si>
  <si>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</si>
  <si>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</si>
  <si>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</si>
  <si>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</si>
  <si>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</si>
  <si>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</si>
  <si>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</si>
  <si>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</si>
  <si>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</si>
  <si>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</si>
  <si>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</si>
  <si>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</si>
  <si>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</si>
  <si>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</si>
  <si>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</si>
  <si>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</si>
  <si>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</si>
  <si>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</si>
  <si>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</si>
  <si>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</si>
  <si>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</si>
  <si>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</si>
  <si>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</si>
  <si>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</si>
  <si>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</si>
  <si>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</si>
  <si>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</si>
  <si>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</si>
  <si>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</si>
  <si>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</si>
  <si>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</si>
  <si>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</si>
  <si>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</si>
  <si>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</si>
  <si>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</si>
  <si>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</si>
  <si>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</si>
  <si>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</si>
  <si>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</si>
  <si>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</si>
  <si>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</si>
  <si>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</si>
  <si>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</si>
  <si>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</si>
  <si>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</si>
  <si>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</si>
  <si>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</si>
  <si>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</si>
  <si>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</si>
  <si>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</si>
  <si>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</si>
  <si>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</si>
  <si>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</si>
  <si>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</si>
  <si>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</si>
  <si>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</si>
  <si>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</si>
  <si>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</si>
  <si>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</si>
  <si>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</si>
  <si>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</si>
  <si>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</si>
  <si>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</si>
  <si>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</si>
  <si>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</si>
  <si>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</si>
  <si>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</si>
  <si>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</si>
  <si>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</si>
  <si>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</si>
  <si>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</si>
  <si>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</si>
  <si>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</si>
  <si>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</si>
  <si>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</si>
  <si>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</si>
  <si>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</si>
  <si>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</si>
  <si>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</si>
  <si>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</si>
  <si>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</si>
  <si>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</si>
  <si>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</si>
  <si>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</si>
  <si>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</si>
  <si>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</si>
  <si>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</si>
  <si>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</si>
  <si>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</si>
  <si>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</si>
  <si>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</si>
  <si>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</si>
  <si>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</si>
  <si>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</si>
  <si>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</si>
  <si>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</si>
  <si>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</si>
  <si>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</si>
  <si>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</si>
  <si>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</si>
  <si>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</si>
  <si>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</si>
  <si>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</si>
  <si>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</si>
  <si>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</si>
  <si>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</si>
  <si>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</si>
  <si>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</si>
  <si>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</si>
  <si>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</si>
  <si>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</si>
  <si>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</si>
  <si>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</si>
  <si>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</si>
  <si>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</si>
  <si>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</si>
  <si>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</si>
  <si>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</si>
  <si>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</si>
  <si>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</si>
  <si>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</si>
  <si>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</si>
  <si>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</si>
  <si>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</si>
  <si>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</si>
  <si>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</si>
  <si>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</si>
  <si>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</si>
  <si>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</si>
  <si>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</si>
  <si>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</si>
  <si>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</si>
  <si>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</si>
  <si>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</si>
  <si>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</si>
  <si>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</si>
  <si>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</si>
  <si>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</si>
  <si>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</si>
  <si>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</si>
  <si>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</si>
  <si>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</si>
  <si>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</si>
  <si>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</si>
  <si>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</si>
  <si>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</si>
  <si>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</si>
  <si>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</si>
  <si>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</si>
  <si>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</si>
  <si>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</si>
  <si>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</si>
  <si>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</si>
  <si>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</si>
  <si>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</si>
  <si>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</si>
  <si>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</si>
  <si>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</si>
  <si>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</si>
  <si>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</si>
  <si>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</si>
  <si>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</si>
  <si>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</si>
  <si>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</si>
  <si>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</si>
  <si>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</si>
  <si>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</si>
  <si>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</si>
  <si>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</si>
  <si>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</si>
  <si>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</si>
  <si>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</si>
  <si>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</si>
  <si>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</si>
  <si>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</si>
  <si>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</si>
  <si>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</si>
  <si>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Posibilidad de priorización de planes, programas o proyectos de inversión o de toma de decisiones para favorecer intereses particulares.</t>
  </si>
  <si>
    <t xml:space="preserve">Proceso </t>
  </si>
  <si>
    <t xml:space="preserve">Objetivo </t>
  </si>
  <si>
    <t>Acción de tratamiento</t>
  </si>
  <si>
    <t>Acción de Contingencia Ante posible materialización</t>
  </si>
  <si>
    <t>Orientar a la empresa en la definición de planes y proyectos de inversión y en la planificación de los Modelos de Gestión con criterios de responsabilidad social, sostenibilidad económica, social y ambiental, a fin de contribuir al cumplimiento al Plan de Desarrollo Distrital, a las políticas públicas y a la misión de la Empresa, así como promover
de forma permanente el control y la participación ciudadana.</t>
  </si>
  <si>
    <t xml:space="preserve">Inicia desde el diagnóstico de necesidades y prioridades de la empresa, del sector y de la ciudad, a partir de los cuales se definen y divulgan los lineamientos e instrumentos para la planeación estratégica y de los Modelos de Gestión, y termina con el seguimiento y la presentación de los resultados de la gestión institucional. </t>
  </si>
  <si>
    <t xml:space="preserve"> concentración de poder,</t>
  </si>
  <si>
    <t xml:space="preserve"> excesiva discrecionalidad</t>
  </si>
  <si>
    <t>El Comité Institucional de Gestión y Desempeño al inicio de cada vigencia aprueba los planes, programas o proyectos de inversión que se formulan de manera participativa entre la alta dirección y los responsables de los procesos. Trimestralmente se realiza el seguimiento respectivo, y los profesionales de la Subgerencia de Planeación de Proyectos validan la información reportada por los diferentes procesos para garantizar su alineación con los objetivos, coherencia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</si>
  <si>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El Comité Institucional de Gestión y Desempeño es la instancia máxima de coordinación y toma de decisiones de la Empresa, por lo cual todas las formulaciones y seguimientos de los planes, programas o proyectos que desarrolla la empresa, se presentan periódicamente en las diferentes sesiones que se realizan según se requiera y se presentan los avances y alertas correspondientes.</t>
  </si>
  <si>
    <t>Informar a los entes internos y externos de control que corresponda</t>
  </si>
  <si>
    <t>Fecha Inicio</t>
  </si>
  <si>
    <t>Fecha fin</t>
  </si>
  <si>
    <t xml:space="preserve">Aplica para cada vigencia </t>
  </si>
  <si>
    <t>Generación de alertas de manera inoportuna</t>
  </si>
  <si>
    <t xml:space="preserve">
Posibilidad de afectación reputacional por la generación de alertas de manera inoportuna debido a un inadecuado seguimiento a la planeación Institucional</t>
  </si>
  <si>
    <t>Los profesionales de la Subgerencia de Planeación y Administración de proyectos trimestralmente validan la información reportada por los diferentes procesos para garantizar su alineación y coherencia con los objetivos, metas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</si>
  <si>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Presentar alertas al líder del proceso cuando la información reportada no sea consistente con el fin de tomar las acciones que corresponda</t>
  </si>
  <si>
    <t>Trimestral</t>
  </si>
  <si>
    <t>Permanente</t>
  </si>
  <si>
    <t>El líder del proceso solicitará la modificación al Plan
de acción debidamente
justificada, al Subgerente de
Planeación y Administración de
Proyectos para posterior aprobación del Comité Institucional de Gestión y Desempeño</t>
  </si>
  <si>
    <t>Gestión de Grupos de Interés</t>
  </si>
  <si>
    <t xml:space="preserve">Inicia con la formulación del Plan de Acción del proceso y cubre las actividades relacionadas con prensa y
comunicación externa, contenido para canales digitales, comunicación organizacional, diseño gráfico y
audiovisual, así como el apoyo en los procesos de comunicación a través de Gestión Social y finaliza con la
ejecución de las actividades establecidas en el Plan de Acción definido. </t>
  </si>
  <si>
    <t>Divulgación de información confusa e inoportuna</t>
  </si>
  <si>
    <t>Entrega de información incompleta por parte de los procesos.</t>
  </si>
  <si>
    <t>El jefe y los profesionales de la Oficina Asesora de Comunicaciones cada vez que se reciben las solicitudes de divulgación de los procesos, realizan una validación con cada proceso para garantizar su veracidad y que esté acorde con los procedimientos establecidos. Cuando se encuentran diferencias se solicitan los ajustes correspondientes mediante correo electrónico y/o las herramientas de comunicación disponibles a los responsables de cada proceso, y una vez ajustada la información, se realizan las piezas de comunicación y/o actualización solicitadas. Las evidencias del control corresponden a las solicitudes realizadas por las áreas, los correos electrónicos enviados y las piezas de comunicación diseñadas.</t>
  </si>
  <si>
    <t>Divulgación del procedimiento para solicitudes de Comunicaciones</t>
  </si>
  <si>
    <t>Anual</t>
  </si>
  <si>
    <t>Periodicidad de Seguimiento</t>
  </si>
  <si>
    <t>Inicia con la inclusión de proyectos misionales al listado maestro, comprende la administración del instrumento de
seguimiento, generación de alertas, custodia a la información y finaliza con la gestión de informes para toma de
decisiones</t>
  </si>
  <si>
    <t>Entrega de información desactualizada e inexacta del avance de los proyectos</t>
  </si>
  <si>
    <t>Desarticulación de la información reportada por las áreas .</t>
  </si>
  <si>
    <t>Posibilidad de afectación reputacional por entrega de información desactualizada e inexacta del avance de los proyectos debido a desarticulación de la información reportada por las áreas .</t>
  </si>
  <si>
    <t>Los profesionales de la Subgerencia de Planeación y Administración de Proyectos verifican mensualmente la clasificación y categorización de la información, en el repositorio del Banco de Información de Proyectos, garantizando su veracidad de acuerdo al cronograma oficial y a la estructura definida del Banco de Proyectos.
Si hay información pendiente por cargar, se generan las alertas solicitando por correo electrónico al profesional o a los responsables de la misma, realizan el ajuste y el cargue de la información, la cual queda dispuesta para consultas y reportes que se requieran por parte de los grupos de interés.</t>
  </si>
  <si>
    <t>El Gestor Senior 3 de la Subgerencia de Gestión Inmobiliaria valida la integridad de la información de los negocios fiduciarios de la Empresa, que se reportan mensualmente a la Contraloría, la cual envía al Coordinador de Fiducias para su visto bueno. Una vez validado por el Coordinador se envía al Subgerente para su aprobación y posterior envió a la Oficina de Control Interno.</t>
  </si>
  <si>
    <t>Realizar reuniones de seguimiento
al avance de los proyectos, para
revisión y definición de
compromisos y tareas.</t>
  </si>
  <si>
    <t xml:space="preserve">Mensual
</t>
  </si>
  <si>
    <t>Informar a la Gerencia General para que se tomen las medidas correspondientes</t>
  </si>
  <si>
    <t xml:space="preserve">Posibilidad de afectación reputacional por la generación de alertas inoportunas debido a un inadecuado seguimiento a los proyectos urbanos </t>
  </si>
  <si>
    <t>generación de alertas inoportunas</t>
  </si>
  <si>
    <t>inadecuado seguimiento a los proyectos urbanos</t>
  </si>
  <si>
    <t>Los profesionales de la Subgerencia de Planeación y Administración de Proyectos, a través de la Base General de Proyectos, herramienta en la cual se incorporan todos los proyectos urbanos gestionados por la Empresa, realizan un seguimiento mensual a los avances reportados por los líderes de proyectos, identificando el cumplimiento de los hitos principales de los proyectos, los cuellos de botellas y riesgos detectados entre otros, esta actividad permite generar y presentar en instancias de reuniones de seguimiento, alertas para la toma de decisiones y una oportuna revisión de los objetivos establecidos durante la planificación y la ejecución del proyecto.</t>
  </si>
  <si>
    <t>Comercialización</t>
  </si>
  <si>
    <t xml:space="preserve">Promover los negocios inmobiliarios relacionados con los proyectos y servicios de la Entidad, a través de estrategias y esquemas de comercialización que faciliten la venta o arriendo de los inmuebles disponibles, la oferta de los servicios del portafolio, y la participación de entes públicos y privados en la gestión de los proyectos de renovación y desarrollo urbano, con el fin de generar ingresos; así como realizar las actividades correspondientes a la administración de los predios. </t>
  </si>
  <si>
    <t xml:space="preserve">Inicia con la identificación de los proyectos que tienen componente de comercialización y de administración de predios, definición y ejecución de las actividades estratégicas requeridas para el cumplimiento del Plan de Acción Institucional (componentes de administración y comercialización de predios), y termina con el reporte de los
negocios realizados (ventas, arriendos, servicios prestados) y para el caso de las ventas el reporte a la Subgerencia de Gestión Corporativa para el registro contable y retiro del inventario. </t>
  </si>
  <si>
    <t>Falta de aplicación y desconocimiento del procedimiento de venta de inmuebles por parte de los profesionales encargados de realizar la respectiva comercialización.</t>
  </si>
  <si>
    <t>Debilidades en la elaboración y revisión de los documentos establecidos en el procedimiento de venta de inmuebles, que son insumo para la comercialización, propiciando que se den condiciones orientadas a favorecer intereses particulares.</t>
  </si>
  <si>
    <t>Posibilidad de favorecimiento a terceros en los procesos de comercialización.</t>
  </si>
  <si>
    <t xml:space="preserve">Siempre que se realice un proceso de comercialización, el profesional o profesionales encargados deben cumplir las actividades establecidas en el procedimiento de Venta de Inmuebles (PD-88), especialmente las que tienen que ver con la revisión y VoBo de documentos por todas las instancias (estudios previos, términos de referencia para la comercialización, entre otros), si es el caso efectuar los ajustes que resulten de las respuestas a las observaciones de los interesados o de las revisiones, y realizar la publicación de estos documentos en SECOP o la WEB, para que todos los posibles interesados en comprar puedan participar. </t>
  </si>
  <si>
    <t>Socialización del procedimiento de Venta de inmuebles (PD- 88) y verificación de revisiones de los documentos asociados a la comercialización.</t>
  </si>
  <si>
    <t>Semestral</t>
  </si>
  <si>
    <t>Informar a los entes internos y externos de control que corresponda.</t>
  </si>
  <si>
    <t>Imposibilidad de aplicar las estrategias de comercialización y concretar cierres de negocios.</t>
  </si>
  <si>
    <t>Condiciones jurídicas, técnicas (normativas), que impiden la comercialización y/o desarrollo de los predios e implican gestiones demoradas para su movilización, aunadas a los valores altos del suelo, que dificultan atraer el interés de los posibles compradores.</t>
  </si>
  <si>
    <t>El Director Comercial y los profesionales designados, solicitan los conceptos que se requieran (jurídicos, técnicos, financieros entre otros), para determinar si los predios designados para la comercialización son susceptibles de vender, arrendar o transferir, posteriormente consolidan la información en un documento o ficha y con base en los mismos determinan los trámites requeridos o para iniciar la comercialización o para solicitar se defina otro tipo de gestión (estructuración, desarrollo proyecto entre otros). En caso de ser posible su comercialización se lleva a cabo el proceso correspondiente (invitación, convocatoria, según la modalidad que aplique según la normatividad).</t>
  </si>
  <si>
    <t>Previo a la designación como predio a comercializar, solicitar la justificación técnica, legal y financiera, que determine la inviabilidad de la ejecución del proyecto para el cual se fue adquirido el inmueble y verificar si se planteó otra alternativa de desarrollo, de manera que sólo lleguen a comercialización predios que tengan plenamente justificada la inviabilidad de desarrollarse y destinarse al fin para el cual fueron adquiridos.</t>
  </si>
  <si>
    <t xml:space="preserve">Formulación de Instrumentos </t>
  </si>
  <si>
    <t>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t>
  </si>
  <si>
    <t>Inicia con la identificación y evaluación de las áreas de oportunidad y culmina con la radicación de la formulación del instrumento ante las autoridades competentes para su aprobación.
Incluye la elaboración de estudios jurídicos, ambientales, técnicos, de suelo, sociales, financieros, comerciales, y su viabilidad.</t>
  </si>
  <si>
    <t>Desconocimiento en el adecuado manejo de la información confidencial.</t>
  </si>
  <si>
    <t>Desconocimiento en el tratamiento de la información sensible de la ERU.
Conflicto de intereses.</t>
  </si>
  <si>
    <t>Uso indebido de información privilegiada para favorecimiento de un interés particular</t>
  </si>
  <si>
    <t>La Dirección de contratos estipula una cláusula de confidencialidad en cada contrato de prestación de servicios con el fin de dar un manejo adecuado de la información por parte de los contratistas.
Así mismo Talento Humano en los contratos laborales de los trabajadores oficiales, cuenta con una cláusula de confidencialidad de la información que por manejo indebido pueda afectar a la organización.
Si se encuentran inconsistencias se reportan las alarmas a Control Interno.
Mensualmente el Supervisor del contrato en la revisión de informes de actividades, verifica el cumplimiento de las cláusulas del contrato y si encuentra inconsistencias se reportan las alarmas a los organismos de Control Interno, de Gestión y/o Disciplinarios.
Trimestralmente el Líder SIG y el Jefe del Área se reúnen para realizar los Comités de Autoevaluación, en los cuales revisan temas de manejo adecuado de la información y si se presentan inconsistencias, se reportan en el acta de los comités de autoevaluación y ante los organismos de Control Interno, de Gestión y/o disciplinarios.</t>
  </si>
  <si>
    <t>Capacitar al personal en las directrices y el adecuado tratamiento de datos e información confidencial anualmente.</t>
  </si>
  <si>
    <t>Si se encuentran inconsistencias se reportan las alarmas al supervisor del contrato y se informa la situación a los organismos de control interno de gestión y disciplinario.</t>
  </si>
  <si>
    <t>Formulación de Instrumentos</t>
  </si>
  <si>
    <t>Retrasos en la formulación de instrumentos de planeamiento.</t>
  </si>
  <si>
    <t>Dificultades en la contratación de estudios , demora en la emisión de respuestas o conceptos por parte de las entidades distritales.</t>
  </si>
  <si>
    <t>Posibilidad de afectación reputacional por retrasos en la formulación de instrumentos de planeamiento debido a dificultades en la contratación de estudios técnicos, demora en la emisión de respuestas o conceptos por parte de las entidades distritales.</t>
  </si>
  <si>
    <t>El líder de la formulación del instrumento elabora un cronograma de trabajo para estimar los tiempos de la formulación del instrumento y se actualiza en la medida que se realizan modificaciones al mismo. Dentro de los seguimientos a proyectos se mantiene la evidencia de los cronogramas propuestos, así como la actualización de los mismos, de acuerdo con la metodología para la formulación de proyectos denominada Ciclo de Estructuración de Proyectos, en caso de presentarse retrasos en la formulación de los instrumentos de planeamiento, se generan alertas tanto en los instrumentos como en las reuniones de seguimiento.</t>
  </si>
  <si>
    <t xml:space="preserve">El líder de la formulación del instrumento cada vez que se requiera,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t>
  </si>
  <si>
    <t xml:space="preserve">Documentar y divulgar la actualización de una metodología para la formulación de instrumentos de planeamiento.
</t>
  </si>
  <si>
    <t>Generar la reprogramación y actualización de los cronogramas y metas de la vigencia así mismo informar a la Subgerencia de Planeación y Administración de Proyectos.</t>
  </si>
  <si>
    <t>Documentar y divulgar la actualización de una metodología para la formulación de instrumentos de planeamiento.</t>
  </si>
  <si>
    <t>Uso de información desactualizada, de estudios y diseños del proyecto.</t>
  </si>
  <si>
    <t>Cambios en el alcance del instrumento de planeamiento.</t>
  </si>
  <si>
    <t>Posibilidad de afectación reputacional por desactualización de estudios y diseños del proyecto debido a cambios en el alcance del instrumento de planeamiento.</t>
  </si>
  <si>
    <t>El líder SIG del proceso, realiza seguimientos a la ejecución del proyecto mediante formato de seguimiento FUSS (mensual), plan de acción (trimestral), ciclo de estructuración e indicadores de gestión. (trimestral). En caso de presentarse retrasos en la formulación de los instrumentos de planeamiento, se generan alertas tanto en los instrumentos como en las reuniones de seguimiento.</t>
  </si>
  <si>
    <t>Contratar nuevamente los estudios correspondientes e informar la situación a los organismos de control interno de gestión y disciplinario, en caso de detectar estudios o diseños del proyecto desactualizados.</t>
  </si>
  <si>
    <t xml:space="preserve">Documentar y actualizar la base de datos de consultores con alto grado de experticia para la elaboración de estudios técnicos. </t>
  </si>
  <si>
    <t xml:space="preserve">El líder de la formulación del instrumento y Líder SGI </t>
  </si>
  <si>
    <t xml:space="preserve"> Ejecución de Proyectos</t>
  </si>
  <si>
    <t>Inicia con la elaboración de los estudios, diseños técnicos, urbanísticos y ambientales y el trámite de aprobación
por parte de las entidades competentes. Incluye la definición de los lineamientos para realizar la construcción,
interventoría y supervisión a los contratos celebrados para los diseños y/o ejecución de las obras y el trámite de
los permisos necesarios para la construcción de las mismas. Continúa con el proceso de entrega y recibo de las
áreas urbanísticas desarrolladas (áreas útiles y cesiones urbanísticas) a las entidades competentes. Finaliza con
la revisión y pago de impuestos y obligaciones derivadas de la construcción.</t>
  </si>
  <si>
    <t>Posibilidad de recibir o solicitar dádivas para estructurar documentos técnicos preliminares orientados a un interés particular</t>
  </si>
  <si>
    <t>Posibilidad de aceptar o solicitar dádivas para recibir parcial y/o final un producto u obra sin el cumplimiento de los requisitos técnicos.</t>
  </si>
  <si>
    <t>Continuo</t>
  </si>
  <si>
    <t xml:space="preserve">Multas, sanciones o demandas
</t>
  </si>
  <si>
    <t xml:space="preserve">
Demoras en la entrega de las obras de urbanismo
</t>
  </si>
  <si>
    <t>Evaluación Financiera de Proyectos</t>
  </si>
  <si>
    <t>Determinar la viabilidad económica y financiera de los proyectos urbanos e inmobiliarios de la Empresa, así como la prefactibilidad inmobiliaria de predios, la constitución y seguimiento a los esquemas fiduciarios y proyectos de vivienda adelantados por la Empresa tal forma que generen un impacto en la sostenibilidad de la misma y en el
incremento de intervenciones en el territorio.</t>
  </si>
  <si>
    <t>Generación de errores en los informes reportados por las Fiduciarias.</t>
  </si>
  <si>
    <t>Debilidades en los lineamientos establecidos para la revisión de la información consolidada, previo a su envío.</t>
  </si>
  <si>
    <t>Posibilidad de afectación económica y reputacional por generación de errores en los informes reportados por las Fiducias debido a debilidades en los lineamientos establecidos para la revisión de la información consolidada, previo a su envío</t>
  </si>
  <si>
    <t>Los administradores fiduciarios de la Subgerencia de Gestión Inmobiliaria realizan mensualmente el seguimiento de la información recibida de las fiduciarias, la cual centralizan, validan, solicitan ajustes si es necesario a través de correo electrónico o llamadas telefónicas, y finalmente se concilia el valor del Derecho Fiduciario de cada negocio con el área de Contabilidad de la Empresa.</t>
  </si>
  <si>
    <t>Establecer Acuerdos de Niveles de Servicio.</t>
  </si>
  <si>
    <t>Realizar el ajuste al informe y dar alcance al órgano de control para su retransmisión.
Establecer Plan de Mejoramiento.
Realizar las acciones legales y administrativas a que haya lugar.</t>
  </si>
  <si>
    <t>Establecimiento de Acuerdos de Niveles de Servicio (cuando aplique).</t>
  </si>
  <si>
    <t>Inicia con la simulación financiera de los proyectos y/o el esquema de negocio, una vez viabilizado y en desarrollo se le hará el seguimiento administrativo, financiero, técnico y jurídico del negocio fiduciario que se constituya para tal fin, hasta la finalización y cierre del proyecto.</t>
  </si>
  <si>
    <t>Pago extemporáneo de los compromisos financieros de los proyectos asociados.</t>
  </si>
  <si>
    <t>Demoras en el flujo de vistos buenos y firmas para el trámite de instrucciones, y documentos fiduciarios.</t>
  </si>
  <si>
    <t>Posibilidad de afectación económica y reputacional por el pago extemporáneo de los compromisos financieros de los proyectos asociados, debido a demoras en el flujo de vistos buenos y firmas para el trámite de instrucciones, y documentos fiduciarios.</t>
  </si>
  <si>
    <t>El Coordinador de Fiducias, efectúa mensualmente el seguimiento al desarrollo de las actividades establecidas en la fase de operación de fiducias del procedimiento PD-74 Constitución y seguimiento a esquemas fiduciarios, verificando que las actividades para la aprobación del tramite de instrucciones fiduciarias, y en caso de detectar retrasos, generar las alertas a los responsables.</t>
  </si>
  <si>
    <t>Efectuar la revisión de los procedimientos internos y los manuales operativos, a fin de optimizar la producción de documentos de la gestión fiduciaria.</t>
  </si>
  <si>
    <t>Establecer Plan de Mejoramiento.
Realizar las acciones legales y administrativas a que haya lugar.</t>
  </si>
  <si>
    <t>Cobro por parte de funcionarios públicos o contratistas a los ciudadanos para la asesoría del trámite "Cumplimiento de la obligación VIS-VIP a través de compensación económica".</t>
  </si>
  <si>
    <t>Falta de información o claridad de los consultores en el inicio y fin del trámite que surte la empresa.</t>
  </si>
  <si>
    <t>POR DEMANDA</t>
  </si>
  <si>
    <t>El Consultor de la Gerencia de Vivienda realiza periódicamente asesorías virtuales a los ciudadanos que solicitan información respecto al tramité de liquidación para el trámite "Cumplimiento de la obligación VIS-VIP a través de compensación económica", informando adicionalmente que el trámite no tiene ningún costo y dejando registro de la asesoría virtual realizada. Aleatoriamente, el líder operativo del SIG realiza seguimiento a las asesorías brindadas, para determinar el servicio brindado y en caso de encontrar alguna situación, informar al jefe inmediato.</t>
  </si>
  <si>
    <t>Actualizar la información del trámite "Cumplimiento de la obligación VIS-VIP a través de compensación económica" en la Guía de Trámites y Servicios y en el Sistema Único de Información y Trámites - SUIT.</t>
  </si>
  <si>
    <t>Mensual</t>
  </si>
  <si>
    <t xml:space="preserve">Posibilidad de afectación económica y reputacional por generar instrumentos de estructuración que no son acordes a la realidad del proyecto, por falta de información, o información que no cuenta con criterios de calidad para la elaboración del instrumento. </t>
  </si>
  <si>
    <t>La información generada en el instrumento de estructuración no está acorde a la realidad del proyecto</t>
  </si>
  <si>
    <t>No se cuenta con la información, la información existente está incompleta o no es de calidad, para poder realizar la estructuración del proyecto.</t>
  </si>
  <si>
    <t>El profesional responsable del proyecto realiza mesas de trabajo semanales con las áreas responsables del suministro de la información para la estructuración del proyecto respectivo, verificando que la documentación entregada, se ajuste a los criterios de calidad y oportunidad establecidos en el cronograma del proyecto. En caso de presentarse inconsistencias se solicita a las áreas responsables, a través de correo electrónico, efectuar los ajustes correspondientes.</t>
  </si>
  <si>
    <r>
      <t xml:space="preserve">Actualizar el procedimiento </t>
    </r>
    <r>
      <rPr>
        <i/>
        <sz val="11"/>
        <color theme="1"/>
        <rFont val="Arial Narrow"/>
        <family val="2"/>
      </rPr>
      <t>"Modelaciones Financieras de los Proyectos"</t>
    </r>
    <r>
      <rPr>
        <sz val="11"/>
        <color theme="1"/>
        <rFont val="Arial Narrow"/>
        <family val="2"/>
      </rPr>
      <t>, con el propósito de documentar los controles establecidos.</t>
    </r>
  </si>
  <si>
    <t>Cuantificar los costos incurridos en el desarrollo del instrumento de estructuración de proyectos y presentarlos a la Gerencia de la Empresa y a la Subgerencia de Gestión Inmobiliaria.</t>
  </si>
  <si>
    <t>Posibilidad de afectación económica y reputacional, por demoras en la ejecución de proyectos de vivienda, suscritos a través de convenio, debido a la debilidad en la identificación de estrategias para la detección y generación de alertas tempranas en el desarrollo de los mismos.</t>
  </si>
  <si>
    <t>Demoras en la ejecución de proyectos de vivienda, suscritos a través de convenios</t>
  </si>
  <si>
    <t>Debilidad en la identificación de estrategias para la detección y generación de alertas tempranas, en el desarrollo de los proyectos de vivienda.</t>
  </si>
  <si>
    <t>Los supervisores realizan de mantera trimestral, los informes de seguimiento de acuerdo con lo establecido en las obligaciones de cada convenio, identificando las posibles alertas que se puedan generar en el adecuado desarrollo de los mismos.</t>
  </si>
  <si>
    <t>La Secretaria Distrital de Hábitat, realiza cada 2 meses los comités operativos de los convenios suscritos para el desarrollo de los proyectos de vivienda, con el propósito de identificar los posibles retrasos que se puedan presentar en la ejecución de los mismos, así como las acciones y compromisos a tomar, los cuales quedan registrados en las respectivas actas de comité.</t>
  </si>
  <si>
    <t>Presentar a la Gerencia General de manera semanal, un reporte sobre el seguimiento a las actividades de ejecución de los proyectos de vivienda supervisados por la Gerencia de Vivienda.</t>
  </si>
  <si>
    <t>Semanal</t>
  </si>
  <si>
    <t>Establecer Plan de Mejoramiento.
Realizar las acciones legales y administrativas a que haya lugar, por el posible incumplimiento del contrato o convenio suscrito.</t>
  </si>
  <si>
    <t>Gestión Predial y Social</t>
  </si>
  <si>
    <t>Adelantar el proceso de gestión de suelo, mediante la adquisición de los predios, por motivos de utilidad pública e interés social, que sean requeridos por la Empresa, para la ejecución de los programas y proyectos de renovación y desarrollo urbano de la ciudad, de conformidad con la normatividad vigente.</t>
  </si>
  <si>
    <t>Inicia con la identificación y titularidad predial, gestión social integral, censo de población, diagnóstico socioeconómico, evaluación de impactos y la formulación del Plan de Gestión Social, con el fin de propiciar la participación comunitaria necesaria para garantizar el restablecimiento de las condiciones iniciales de la población ubicada en los predios requeridos, continuando con el estudio de títulos y termina con la trasferencia efectiva del derecho real de dominio a favor de la Empresa o a la Fiduciaria correspondiente.
Contempla la aplicación de los diferentes instrumentos legales de adquisición de suelo, como la enajenación voluntaria y la expropiación por vía administrativa, derecho de preferencia, así como la formulación y ejecución del Plan de Gestión Social incluyendo la liquidación y pago de los reconocimientos económicos, para la población
identificada en el censo y diagnóstico socio económico.</t>
  </si>
  <si>
    <t>Sobrecosto en el proceso de adquisición</t>
  </si>
  <si>
    <t>Fallas en el seguimiento y control de las Instrucciones fiduciarias, notificaciones (Oferta y Expropiación), Insumos (Registros topográficos) y contestación en tiempo de recursos de reposición.</t>
  </si>
  <si>
    <t>Posibilidad de afectación económica y reputacional por el sobrecosto en el proceso de adquisición debido a fallas en el seguimiento y control de las Instrucciones fiduciarias, Insumos (Registros topográficos), notificaciones (Oferta y Expropiación) y contestación en tiempo de recursos de reposición.</t>
  </si>
  <si>
    <t xml:space="preserve">El Director(a) de Predios con su equipo de trabajo periódicamente realiza seguimiento y control al proceso de pago predio por predio que den cuenta del avance de la adquisición predial, con el fin de evitar sobrecostos en el proceso de adquisición. </t>
  </si>
  <si>
    <t>Socializar y hacer seguimiento a la herramienta de seguimiento y control ante el equipo de trabajo de la Dirección de Predios</t>
  </si>
  <si>
    <t>Escalar a Gerencia, a los entes internos de control y a quien sea pertinente para dar solución a la corrección del pago.</t>
  </si>
  <si>
    <t>Posibilidad de uso indebido de información privilegiada para favorecimiento de un interés particular.</t>
  </si>
  <si>
    <t>Posibilidad de extracción de documentos durante el proceso de atención de interesados.</t>
  </si>
  <si>
    <t>Desconocimiento en el uso de información sensible.</t>
  </si>
  <si>
    <t xml:space="preserve">La Jefe de la Oficina de Gestión realiza los Comités de Autoevaluación y Seguimiento de manera trimestral donde se hace seguimiento al avance del proceso de gestión social, en el marco de la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t>
  </si>
  <si>
    <t>Para cada contrato de prestación de servicios se tiene establecida la obligación "Mantener la reserva y confidencialidad de la información que obtenga como consecuencia de las actividades que desarrolle para el cumplimiento del objeto del contrato" y para los contratos de planta, en el otrosí a los contratos individuales de trabajo, en el acuerdo No. CUATRO, se especifica que el trabajador debe garantizar la confidencialidad de la información de la Empresa a la que tenga acceso por razón de las funciones asignadas, las cuales son objeto de verificación por parte del Supervisor mensualmente mediante el Certificado de Supervisión para el caso de contratistas, y por el Jefe Inmediato a través del informe mensual de actividades.</t>
  </si>
  <si>
    <t>Informar a la Gerencia de la Empresa, a los entes internos y externos de control y a quien sea pertinente para realizar las investigaciones disciplinarias correspondientes.</t>
  </si>
  <si>
    <t>Posibilidad de afectación económica y reputacional debido a siniestros ocasionado por terceros o casos fortuitos y debilidades en la asignación y actualización de inventarios de la empresa debido a la falta de control y seguimiento sobre los bienes de la empresa.</t>
  </si>
  <si>
    <t xml:space="preserve"> Gestión de Servicios Logísticos</t>
  </si>
  <si>
    <t>Inicia con la elaboración del Plan de Contratación, contempla la formulación del Plan de Acción, Plan de
mantenimiento de bienes, y finaliza con la ejecución de planes el manejo y control del inventario.</t>
  </si>
  <si>
    <t>Falta de control y seguimiento sobre los bienes de la empresa</t>
  </si>
  <si>
    <t xml:space="preserve">enero </t>
  </si>
  <si>
    <t>diciembre</t>
  </si>
  <si>
    <t>Hacer la reposición del bien Informar a las instancias de Control Interno</t>
  </si>
  <si>
    <t>Diario</t>
  </si>
  <si>
    <t>Posibilidad de afectación reputacional por no contar con los contratos que suministren bienes y servicios para el gestión y funcionamiento de la Empresa, por la falta de control y seguimiento oportuno.</t>
  </si>
  <si>
    <t xml:space="preserve"> Falta de control y seguimiento oportuno.</t>
  </si>
  <si>
    <t>El profesional de recursos físicos mensualmente realiza el seguimiento al plan de adquisiciones, plan de contratación del procesos de servicios logísticos para adelantar los procesos contractuales que se requieren conforme a las necesidades evidenciadas para el normal funcionamiento de la empresa, en este mismo sentido El/La Subgerente de Gestión Corporativa y/o el apoyo que se designe, realiza de manera permanente la supervisión técnica, jurídica y financiera, a los contratos suscritos para la adquisición de los bienes y servicios de la Empresa, dejando como evidencia los informes la ejecución del contrato, donde se detallan el cumplimiento de las obligaciones.</t>
  </si>
  <si>
    <t>Destinación de Recursos Públicos de forma indebida en favor de un privado o tercero.</t>
  </si>
  <si>
    <t>Realizar un seguimiento oportuno y veraz de los contratos a nivel técnico, administrativo y financiero de los procesos que se encuentren en el Plan de Adquisiciones de la Empresa, con el fin de garantizar su adecuada ejecución.</t>
  </si>
  <si>
    <t>mensual</t>
  </si>
  <si>
    <t>enero</t>
  </si>
  <si>
    <t xml:space="preserve">Informar al jefe del área, para tomar las medidas pertinentes con el fin de cubrir los bienes y servicios que no se encuentra al interior del PAA </t>
  </si>
  <si>
    <t>Fortalecer el seguimiento a las acciones de control de los Riesgos de Corrupción en
los procesos de Direccionamiento Estratégico y Tecnologías de la Información</t>
  </si>
  <si>
    <t>Gestión Documental</t>
  </si>
  <si>
    <t>Planear, organizar, administrar y controlar, el manejo de la documentación e información producida y recibida en cumplimento de las funciones de la Empresa, desde su origen hasta su disposición final, para garantizar la protección del patrimonio documental y el acceso en cumplimiento de la norma archivística</t>
  </si>
  <si>
    <t>Posibilidad de sustracción, inclusión y/o adulteración de documentos en los expedientes (misionales y de Gestión) en beneficio de terceros."</t>
  </si>
  <si>
    <t>Enero</t>
  </si>
  <si>
    <t>Diciembre</t>
  </si>
  <si>
    <t xml:space="preserve"> Aplicación del Procedimiento PD-40 Reconstrucción de Expedientes V2</t>
  </si>
  <si>
    <t xml:space="preserve">Informar en los tiempos establecidos a los colaboradores que tienen prestamos a su nombre, con el fin de solicitar la devolución o actualización de ser necesario. </t>
  </si>
  <si>
    <t>Degradación y deterioro parcial o total de la información o su soporte.</t>
  </si>
  <si>
    <t>Ausencia de medidas y acciones de conservación preventiva, que propendan la conservación de la memoria documental de la Empresa</t>
  </si>
  <si>
    <t>Posibilidad de afectación reputacional por degradación y deterioro parcial o total de la información o su soporte, debido a ausencia de medidas y acciones de conservación preventiva, que propendan la conservación de la memoria documental de la Empresa</t>
  </si>
  <si>
    <t>La profesional de Conservación y Restauración de Bienes Muebles mensualmente implementa el plan de conservación documental desarrollando las actividades establecidas en el Programa de Monitoreo y control de condiciones ambientales, en caso de presentarse ajustes a la ejecución del plan se realiza el registro en el plan dejando la trazabilidad de estos</t>
  </si>
  <si>
    <t xml:space="preserve">Socializar el sistema Integrado de Conservación Documental </t>
  </si>
  <si>
    <t>Realizar la intervención de la documentación afectada por el deterioro.</t>
  </si>
  <si>
    <t>Posibilidad de afectación reputacional por pérdida de información debido a ausencia en la aplicación, actualización y seguimiento de la política, planes, programas e instrumentos que rigen la función archivística</t>
  </si>
  <si>
    <t>Pérdida de información por el incumplimiento de la normativa archivística</t>
  </si>
  <si>
    <t>Ausencia en la aplicación, actualización y seguimiento de la política, planes, programas e instrumentos que rigen la función archivística</t>
  </si>
  <si>
    <t>Socialización, implementación y seguimiento de los instrumentos archivísticos
* PINAR
* PGD
* TRD
* CCD
* Modelo de Requisitos
* Banco Terminológico</t>
  </si>
  <si>
    <t>Aplicación de los procedimientos de recuperación, conservación y seguridad de la información.</t>
  </si>
  <si>
    <t>Gestión Jurídica</t>
  </si>
  <si>
    <t>Soborno.
Intereses particulares.</t>
  </si>
  <si>
    <t>Acuerdos entre apoderados para viciar la defensa judicial durante las etapas del proceso.</t>
  </si>
  <si>
    <t>Posibilidad de manipulación indebida de procesos judiciales para favorecer un interés particular.</t>
  </si>
  <si>
    <t xml:space="preserve">cuatrimestral </t>
  </si>
  <si>
    <t>Gestionar todos los asuntos relacionados con la contratación estatal requeridos por la empresa, mediante el apoyo, trámite, asesoría y seguimiento de los procesos contractuales atendiendo al régimen legal aplicable y las modalidades de selección establecidas por la ley, con el fin de llevar a cabo la ejecución de los planes de Inversión y Anual de Adquisiciones y dar cumplimiento a las metas y objetivos de la empresa.</t>
  </si>
  <si>
    <t>Gestión Contractual</t>
  </si>
  <si>
    <t xml:space="preserve">Inicia con la definición de políticas, objetivos, lineamientos, parámetros y estrategias en materia de contratación estatal, la elaboración y aprobación del Plan Anual de Adquisiciones y plan de Inversión de la Empresa, desarrolla las etapas de selección y contratación, supervisión e interventoría y finaliza con la liquidación de los contratos y cierre de los expedientes contractuales cuando aplique. </t>
  </si>
  <si>
    <t>Inclusión en los estudios previos y/o en los pliegos de condiciones de requisitos específicos, o presentación de Adendas que modifican las condiciones generales del proceso de contratación, posiblemente por presiones internas o externa o por nepotismo.</t>
  </si>
  <si>
    <t xml:space="preserve">
Manipulación indebida de documentos precontractuales. </t>
  </si>
  <si>
    <t>Posibilidad de recibir o solicitar cualquier dádiva o beneficio a nombre propio o de terceros con el fin de adjudicar un proceso de contratación para favorecer a personas o grupos determinados.</t>
  </si>
  <si>
    <t xml:space="preserve">El comité de contratación mantiene reuniones periódicas que permiten la interacción con las áreas que solicitan iniciar diferentes procesos de contratación los cuales se encuentran inmersos en el Plan anual de adquisiciones y en el Plan de inversión aprobados para cada vigencia, en este comité se realizan las recomendaciones frente al tipo de contratación, adicionalmente se verifican en cada uno de los planes el presupuesto designado.
Todas las decisiones quedan documentadas en actas. Cuando se detecte la falta de cumplimiento de requisitos en la documentación para adelantar la contratación, se informa al área solicitante y se devuelve el trámite correspondiente para realizar los ajustes necesarios. </t>
  </si>
  <si>
    <t xml:space="preserve">Realizar seguimiento a Plan Anual de Adquisiciones y Plan de Inversión con el fin de evidenciar el cumplimiento de lo programado dentro de la vigencia estimada.
</t>
  </si>
  <si>
    <t>permanente</t>
  </si>
  <si>
    <t>Reportar a las dependencias internas y entes de control correspondientes, cuando se presente un presunto favorecimiento a proponentes en el proceso de Gestión Contractual.</t>
  </si>
  <si>
    <t>Desconocimiento de los procedimientos y políticas internas así como los tiempos establecidos por la entidad para llevar a cabo los tramites contractuales .</t>
  </si>
  <si>
    <t>Falta de la verificación de los requisitos para contratación por parte de los funcionarios o contratistas encargados de la Etapa Precontractual</t>
  </si>
  <si>
    <t xml:space="preserve">Realizar socializaciones periódicas a las diferentes dependencias a cerca de los procedimientos y los formatos utilizados dentro del proceso de Gestión Contractual así mismo dar a conocer los tiempos estimados para realizar los diferentes tipos de contratos con el fin que se tenga en cuenta la gestión precontractual. </t>
  </si>
  <si>
    <t>Correo electrónico a las dependencias correspondientes (por evento cuando se presente)</t>
  </si>
  <si>
    <t>Gestión Ambiental</t>
  </si>
  <si>
    <t>Inicia con la identificación del objetivo general para la vigencia actual del Plan Institucional de Gestión Ambiental, la concertación y ejecución del Plan Institucional de Gestión Ambiental PIGA y el Plan Acción Cuatrienal Ambiental – PACA, y finaliza con el</t>
  </si>
  <si>
    <t>Incumplimiento de lineamientos, procedimientos y regulaciones ambientales.</t>
  </si>
  <si>
    <t>Falta de implementación de los planes de acción ambiental.</t>
  </si>
  <si>
    <t>Posibilidad de afectación económica y reputacional por incumplimiento de requisitos legales ambientales, debido a inobservancia de lineamientos, procedimientos y regulaciones ambientales internas por parte de los colaboradores y contratistas.</t>
  </si>
  <si>
    <t>El profesional de gestión ambiental realiza un seguimiento mensual a la ejecución del PIGA en el marco del Comité de Autoevaluación, en este espacio se reporta el avance de las actividades del plan de acción, en caso de presentarse desviaciones respecto a la ejecución se generan acciones de mejora, y las decisiones tomadas quedan registradas en las actas del Comité.</t>
  </si>
  <si>
    <t>El profesional ambiental realiza seguimiento semestral a la ejecución física y presupuestal de las metas y/o acciones ambientales priorizadas en el PACA Institucional con el fin de evidenciar avances y logros de las mismas. En caso de presentarse desviaciones respecto a la ejecución se debe generar una reformulación o ajustes al plan de acción, los cuales quedan como evidencia en un documento que debe subirse a la herramienta Storm User de la Secretaria de Ambiente.</t>
  </si>
  <si>
    <t>Divulgación, capacitación y campañas del PIGA y sus programas para efectuar seguimiento a los programas.</t>
  </si>
  <si>
    <t>Informar a la Secretaría Distrital de Ambiente.
Generar el ajuste al plan de acción.</t>
  </si>
  <si>
    <t>Realizar mesas de trabajo con las demás áreas, para incorporar los lineamientos del PACA dentro de los proyectos de inversión.</t>
  </si>
  <si>
    <t>Atención al Ciudadano</t>
  </si>
  <si>
    <t>Inicia con el ingreso de la solicitud o requerimiento del ciudadano a través cualquiera de los canales habilitados por la empresa
y finaliza con la respuesta en los términos y con los criterios dispuestos en la normatividad vigente</t>
  </si>
  <si>
    <t>Debilidad en la capacitación en materia de Atención al Ciudadano</t>
  </si>
  <si>
    <t>Falta de conocimiento frente a la norma la política y al manejo de las PQRS</t>
  </si>
  <si>
    <t>El Gestor Senior 1 de atención al ciudadano cada vez que ingresa un colaborador genera la inducción en las temáticas de Atención al ciudadano, resultado de esta reunión quedan las grabaciones y las listas de asistencia .</t>
  </si>
  <si>
    <t>Generar capacitaciones de lenguaje</t>
  </si>
  <si>
    <t>Posibilidad de afectación reputacional por un alcance inadecuado en la respuesta al peticionario debido a falta de información o entrega de esta</t>
  </si>
  <si>
    <t>alcance inadecuado en la respuesta al peticionario</t>
  </si>
  <si>
    <t>falta de información o entrega de esta</t>
  </si>
  <si>
    <t>Cuatrimestral</t>
  </si>
  <si>
    <t>Reinducción del manejo del sistema Bogotá te escucha.</t>
  </si>
  <si>
    <t>Demanda</t>
  </si>
  <si>
    <t>Gestión de TIC</t>
  </si>
  <si>
    <t xml:space="preserve">Inicia con la identificación de necesidades TIC y finaliza con la implementación de soluciones integrales para el
mejoramiento continuo de la Empresa. Comprende la administración y soporte de hardware – software, así como
coliderar la función Central de Gobierno de Datos. </t>
  </si>
  <si>
    <t>Tener una infraestructura (Conjunto de medios técnicos, servicios e instalaciones necesarios para el desarrollo de una actividad o para que un lugar pueda ser utilizado.) de protección y contingencia desactualizada.
Debilidades en el proceso de realizar copias de seguridad.</t>
  </si>
  <si>
    <t xml:space="preserve">Pérdida de la información institucional </t>
  </si>
  <si>
    <t>Posibilidad de afectación reputacional debido a tener una infraestructura de protección y contingencia desactualizada, así como debilidades en el proceso de realizar copias de seguridad, de manera que cause la pérdida de información institucional.</t>
  </si>
  <si>
    <t xml:space="preserve">
Realizar acompañamiento técnico a las áreas en la adquisición de productos y/o servicios de tecnología</t>
  </si>
  <si>
    <t>Realizar seguimiento a la contratación de los servicios de mantenimiento preventivo y correctivo del hardware de la Empresa a través del Plan de Adquisiciones.</t>
  </si>
  <si>
    <t>Mantenimiento correctivo</t>
  </si>
  <si>
    <t>Ausencia de confidencialidad de la claves de acceso a funcionarios y contratistas.
Debilidad en la actualización del hardware y software de la Entidad.</t>
  </si>
  <si>
    <t>“Inactivación del Acceso Lógico del usuario al evidenciar el uso no adecuado de los recursos tecnológicos o al momento de terminar la vinculación con la empresa.”</t>
  </si>
  <si>
    <t>Posibilidad de afectación reputacional por cortes de redes eléctricas, de datos, voz e Internet imprevistos por tiempos prolongados y equipos obsoletos que no soportan eficientemente el software adquirido, que generen indisponibilidad de los servicios o infraestructura de TI.</t>
  </si>
  <si>
    <t xml:space="preserve"> Cortes de redes eléctricas, de datos, voz e Internet imprevistos por tiempos prolongados. - 
Equipos obsoletos que no soportan eficientemente el software adquirido.</t>
  </si>
  <si>
    <t>Indisponibilidad de los servicios o infraestructura de TI.</t>
  </si>
  <si>
    <t>Aplicar los ANS con el proveedor.
Y restablecer el servicio</t>
  </si>
  <si>
    <t>Gestión Financiera</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</si>
  <si>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</si>
  <si>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Evaluación y Seguimiento</t>
  </si>
  <si>
    <t>Ser agente dinamizador del Sistema de Control Interno por medio de actividades en torno a los cinco (5) roles a cargo de la Oficina de Control Interno: Liderazgo estratégico, Enfoque hacia la prevención, Evaluación de la gestión del riesgo, Evaluación y seguimiento, Relación con entes externos de control, para fortalecer el autocontrol, la autorregulación y la autogestión de la Empresa de Renovación y Desarrollo Urbano de Bogotá, de conformidad con la normatividad vigente y contribuir con el cumplimiento de los objetivos y metas institucionales, a través de la evaluación y mejora de la eficacia de los procesos de gestión de riesgos, control y gobierno.</t>
  </si>
  <si>
    <t>Inicia con la planificación del Plan Anual de Auditoría basado en riesgos, su ejecución, evaluación, seguimiento de actividades planificadas, elaboración de informes y/o asesoría para la toma de decisiones, evaluación de la gestión del riesgo, finalizando con la implementación de los Planes de Mejoramiento correspondientes a fin de agregar valor y mejora en los procesos y operaciones de la Empresa, proporcionando aseguramiento, análisis basado en riesgos y de manera paralela interactuando con los entes de control conforme la normatividad vigente.</t>
  </si>
  <si>
    <t>Amiguismo.
fenecimiento o recepción de dádivas (D) Incumplimiento del plan de trabajo de auditoría Incumplimiento del código de ética del auditor y del estatuto de auditoria Incumplimiento de los procedimientos de auditoria. (D) Inobservancia del plan de trabajo de auditoría (D) Desconocimiento del código de ética del auditor y del estatuto de auditoría. (F) Personal con experiencia y capacidad para ejercer el control y la evaluación institucional (F) Cumplimiento del código de ética del auditor y del estatuto de auditoría</t>
  </si>
  <si>
    <t>La Jefe de la Oficina de Control Interno convoca a todo el equipo de trabajo en el mes de enero de cada vigencia a fin de realizar un análisis para determinación del universo de auditoría, el cual se prioriza de acuerdo con las necesidades de la Empresa y los recursos disponibles para la elaboración del Plan Anual de Auditoria que incorpora todas las acciones categorizadas de acuerdo con los roles legales aplicables.</t>
  </si>
  <si>
    <t xml:space="preserve">Cada vez que se inicia un ejercicio de auditoría, el auditor líder prepara el plan específico de auditoria el cual se somete a la revisión y aprobación de la Jefe de la Oficina de Control Interno y se remite al área objeto de auditoria a través de comunicación oficial con suficiente antelación junto con la descripción de las información requerida y el plazo de entrega. La Jefe de Control Interno convoca a la reunión de instalación de la auditoría al que asisten los equipos de trabajo del área auditada y el equipo auditor para presentar el plan específico de auditoría y dar a conocer todos los detalles y condiciones de la auditoria y, de ser necesarios, se realizan los ajustes previo acuerdo con el proceso auditado. </t>
  </si>
  <si>
    <t>El auditor líder y el equipo de auditoría inicia el trabajo de auditoria y los resultados preliminares se consolidan y se remiten mediante correo electrónico a la Jefe de la Oficina de Control Interno para verificar su contenido, resultados, evidencias y cumplimiento de las etapas metodológicas de acuerdo con el Procedimiento PD-57 "Auditorías Internas SIG y de Evaluación Independiente" y realizar los ajustes correspondientes. El informe preliminar se remite al líder del proceso auditado con el propósito de que analice los resultados y presente las objeciones las cuales son analizadas por el equipo auditor y por la Jefe de la Oficina de Control Interno para elaborar el informe definitivo el cual se presenta en la reunión de cierre.</t>
  </si>
  <si>
    <t xml:space="preserve">1.Diseñar y Aplicar el formato para suscribir la declaración de impedimentos y conflictos de interés de los auditores.
</t>
  </si>
  <si>
    <t>30 de julio de 2021</t>
  </si>
  <si>
    <t>31 de diciembre de 2021</t>
  </si>
  <si>
    <t>Urgencia en tareas imprevistas y falta de priorización.
No identificación o identificación inoportuna de los cambios en la legislación aplicable. 
Desconocimiento de las regulaciones aplicables. 
Solicitud y/o suministro de información tardía, incompleta o inoportuna.
Planeación deficiente del plan anual y del plan específico de auditorías. 
Inobservancia del plan específico de auditoría. 
Falta de claridad y/o desconocimiento institucional del enfoque por procesos del ejercicio auditor. 
No disponibilidad oportuna de información insumo para el ejercicio de auditoría y/o seguimiento. 
Desatención del proceso auditor y de la formulación de acciones de mejora correspondientes, solicitudes de aplazamiento o prórrogas de las actividades auditorías. 
Personal auditor insuficiente para la carga laboral establecida. Desinterés en el fortalecimiento de las competencias individuales. 
Debilidades en las competencias, conocimientos, habilidades y evaluación de los auditores internos. Insuficiente conocimiento de la Entidad. 
Desconocimiento de estándares, requisitos y técnicas de auditoria. 
Fallas en los análisis de las fuentes de la información. 
Ausencia o baja efectividad de los controles. 
Desarmonización de los procedimientos del proceso en relación con los estándares de referencia. 
Estructura documental del proceso desactualizada o sin uso.
Desinterés institucional en el fortalecimiento de la evaluación interna.</t>
  </si>
  <si>
    <t>1. Establecer el ranking de auditores para valorar el desempeño del auditor.
2. Realizar el análisis semestral del estado de adopción y efectividad de las recomendaciones surtidas en los informes legales, se seguimiento o de auditoria.</t>
  </si>
  <si>
    <t>1. Actualizar la batería de indicadores para monitorear el desempeño del proceso y de la Empresa a partir de la ejecución del Plan Anual de Auditorías</t>
  </si>
  <si>
    <t xml:space="preserve">Almacenamiento de medios sin
protección. Falta de controles de acceso físico. Ausencia de políticas de seguridad. Debilidades en los controles para la protección de la información. Inexistencia de lineamientos y procedimientos documentados. 'Debilidades en la protección, resguardo y confidencialidad de las evidencias y documentos recolectados durante el ejercicio auditor 
No se cuenta con un sistema de información o software de apoyo para la ejecución del plan anual de auditorías y para la captura de información sobre la gestión y resultados institucionales. </t>
  </si>
  <si>
    <t xml:space="preserve"> Inexistencia de lineamientos, controles y procedimientos documentados para el resguardo de la información insumo para los trabajos de auditoría y seguimiento</t>
  </si>
  <si>
    <t>Posibilidad de pérdida de la confidencialidad de la información obtenida para la ejecución de los trabajos de auditoría debido a debilidades en los mecanismos de control para su protección y resguardo.</t>
  </si>
  <si>
    <t>Cada vez que se ejecuta un trabajo de auditoria, el auditor líder compila la información insumo resultante del trabajo de auditoría en una carpeta electrónica y la entrega en un CD a la Jefe de la Oficina de Control Interno para su protección y resguardo.</t>
  </si>
  <si>
    <t xml:space="preserve">Uso indebido de la información adquirida durante el ejercicio de auditoría
</t>
  </si>
  <si>
    <t xml:space="preserve">Posibilidad pedir o aceptar dádivas, favores o beneficios particulares, con el fin de manipular indebidamente los resultados de los informes de evaluación y seguimiento u ocultar hechos irregulares conocidos por los auditores.
</t>
  </si>
  <si>
    <t>El auditor líder designado suscribe la declaración de no impedimento y conflicto de intereses y prepara el plan de trabajo de auditoría el cual es revisado por los auditores acompañantes y por la Jefe de la Oficina de Control Interno para asegurar que se cuente con toda la información necesaria para su ejecución. El Plan de Trabajo de Auditoría aprobado es remitido es líder del proceso y se solicita la información necesaria para la preparación de las pruebas de auditoria.</t>
  </si>
  <si>
    <t xml:space="preserve">La Jefe de la Oficina de Control Interno convoca y desarrolla la reunión de instalación y conjuntamente con el auditor líder presenta el plan de trabajo de auditoría al líder del proceso y su equipo de trabajo convocado, para recibir comentarios y ajustes, lo cual queda documentado en la correspondiente acta. </t>
  </si>
  <si>
    <t xml:space="preserve">1. Gestionar una auditoría externa de pares para evaluar el estado de desempeño del proceso de Evaluación y Seguimiento de la Empresa.
</t>
  </si>
  <si>
    <t>2. Realizar ejercicios de capacitación y referenciación para reconocer las tendencias y buenas prácticas en el ejercicio de la auditoria interna.</t>
  </si>
  <si>
    <t>3. Documentar dentro del estatuto de auditoría los lineamientos en materia de protección y uso no autorizado de la información obtenida durante el ejercicio de auditoría</t>
  </si>
  <si>
    <t>Direccionamiento Estratégico</t>
  </si>
  <si>
    <t>Ejecución y Administración de procesos</t>
  </si>
  <si>
    <t>Se informa internamente a la Gerencia General
Se informa Externamente a la Alcaldía Mayor
Se procede a dar un alcance (corrección o eliminación) a la información publicada</t>
  </si>
  <si>
    <t>Informar en Comité Institucional de Gestión y Desempeño para trasladar al área que competa para que se busque una nueva alternativa o estructuración de un proyecto, entregando la información y apoyando en las gestiones requeridas.</t>
  </si>
  <si>
    <t>Daños Activos Físicos</t>
  </si>
  <si>
    <t>El profesional responsable del proceso de Gestión de Servicios Logísticos de acuerdo con las solicitudes generadas por las dependencias autoriza el retiro y la salida de los elementos a través del envío de un correo electrónico a la administración de edificio, si no se cuenta con el correo electrónico la administración del edificio no permite la salida de los elementos.</t>
  </si>
  <si>
    <t>Autorización de retiro de elementos a través de correo electrónico con la vigilancia del Edificio.</t>
  </si>
  <si>
    <t>No contar con los contratos que suministren bienes y servicios para el gestión y funcionamiento de la Empresa</t>
  </si>
  <si>
    <t>El apoyo a la supervisión realiza un seguimiento mensual a los contratos en lo referente a los aspectos administrativos, técnicos y financieros, teniendo como evidencia los informes de apoyo a la supervisión para el trámite de los pagos correspondientes.</t>
  </si>
  <si>
    <t xml:space="preserve">Apoyo Mensual, generando informes de apoyo a la supervisión </t>
  </si>
  <si>
    <t>Inicia con la articulación de los instrumentos estratégicos y comprende la planeación, producción, recepción, trámite, organización y custodia, culminando con la disposición final de la documentación e información de la
Empresa.</t>
  </si>
  <si>
    <t>Sustracción, alteración o inclusión de documentos en los expedientes documentales que se encuentran en custodia del proceso para beneficiar a terceros.</t>
  </si>
  <si>
    <t>El técnico del Centro Administrativo Documental - CAD, realiza la actualización diaria del Inventario Único Documental, identificando de manera exacta el contenido (cantidad de unidades de conservación y folios ).</t>
  </si>
  <si>
    <t>El técnico líder asignado al CAD del proceso de gestión documental realiza la recepción de la documentación y del formato FT-33 Formato Único de Inventario Documental, así mismo se realiza la revisión de los documentos que se entregan y quedan registrados en el formato ( se valida el correcto diligenciamiento del mismo), como evidencia de la ejecución del control queda el formato firmado por la dependencia productora y por el líder técnico del CAD de gestión documental, en caso de presentarse errores en el diligenciamiento se remitirá un correo electrónico indicando las sugerencias de ajustes</t>
  </si>
  <si>
    <t xml:space="preserve">Realizar la actualización del procedimiento de defensa judicial incluyendo dentro de las políticas de operación el control </t>
  </si>
  <si>
    <t xml:space="preserve"> El abogado una vez se genera cualquier actuación judicial debe actualizar el Sistema de Información de Procesos Judiciales SIPROJ, adjuntando la respectiva actuación. En caso de encontrar desviaciones se informará a los entes de control internos y externos. </t>
  </si>
  <si>
    <t>Detective</t>
  </si>
  <si>
    <t>Generar campañas de socialización</t>
  </si>
  <si>
    <t xml:space="preserve">Documentar el control en el Procedimiento PD-29 Peticiones, Quejas, Reclamos y Soluciones </t>
  </si>
  <si>
    <t>El auxiliar administrativo de atención al ciudadano realiza el seguimiento trimestral de la oportunidad y la calidad en las repuestas de las PQRS este seguimiento se realiza tomando una muestra del total de las PQRS recibidas en el trimestre , resultado de la ejecución de este control queda el informe de satisfacción trimestral con los porcentajes de satisfacción, en caso de encontrase PQRS respondidas fuera de tiempo o que no cuenten con la calidad se genera una reinducción del manejo del sistema.</t>
  </si>
  <si>
    <t xml:space="preserve"> Vulnerabilidad de los sistemas de información y aplicaciones de la ERU</t>
  </si>
  <si>
    <t>Posibilidad de afectación reputacional por la Ausencia de confidencialidad de la claves de acceso a funcionarios y contratistas o Debilidad en la actualización del hardware y software de la Entidad. De manera que genere vulnerabilidad de los sistemas de información y aplicaciones de la ERU.</t>
  </si>
  <si>
    <t>El supervisor o jefe de área, cada vez que ingrese tanto un contratista como un funcionario a la Empresa, debe reportar las novedades de los accesos lógicos mediante el formulario de Novedad de Acceso Lógico que esta en el sistema Administrativo y Financiero JSP7, para que los profesionales del proceso TIC puedan generar o modificar el usuario y contraseña de acceso. 
Este control tiene el propósito de generar responsabilidades a los usuarios sobre el acceso a la información dejando trazabilidad en JSP7.</t>
  </si>
  <si>
    <t>Revisar las solicitudes de acceso lógico que quedan registradas en JSP7 para ser atendidas. Y revisión del correo a usuarios que están vinculados por Fiducias.</t>
  </si>
  <si>
    <t>Fallas Tecnológicas</t>
  </si>
  <si>
    <t>Gestión del Talento Humano</t>
  </si>
  <si>
    <t>Inoportunidad y/o deficiencia en el reporte de información financiera y tributaria</t>
  </si>
  <si>
    <t>Debilidad en la entrega de la información por parte de los procesos</t>
  </si>
  <si>
    <t>Posibilidad de afectación económica y reputacional debido a inoportunidad y/o deficiencia en el reporte de información financiera y tributaria por debilidad en la entrega de la información por parte de los procesos</t>
  </si>
  <si>
    <t>Se cuenta con un listado de reportes de información a entes internos y externos, el cual es de cumplimiento por los profesionales de cada proceso, allí se describen el nombre del reporte y la periodicidad en la cual se debe realizar el reporte con el propósito de tener control de las fechas y de la información a reportar.</t>
  </si>
  <si>
    <t>Implementar socialización del cuadro de control de reportes al equipo de gestión financiera y realizar el seguimiento mensual sobre el cumplimiento de los entregables</t>
  </si>
  <si>
    <t>Posibilidad de afectación económica y reputacional debido a la no disponibilidad de recursos económicos por debilidad en la administración y seguimiento a la ejecución de recursos financieros.</t>
  </si>
  <si>
    <t>No disponibilidad de recursos económicos</t>
  </si>
  <si>
    <t>Debilidad en la administración y seguimiento a la ejecución de recursos financieros</t>
  </si>
  <si>
    <t>Comité Financiero y de inversiones realiza el seguimiento al flujo de caja trimestralmente, en el marco de las sesiones del comité cada tres meses, según lo establecido en la Res. 263 de 2020, con el propósito de tener el control sobre la disponibilidad de recursos y al nivel de liquidez óptimo para la Empresa, como evidencia de los seguimiento generados quedan las actas de las sesiones de cada Comité, en las actas también se describen las acciones a ejecutar en caso de encontrar desviaciones.</t>
  </si>
  <si>
    <t xml:space="preserve">Planeación financiera a ejecutar en cada vigencia </t>
  </si>
  <si>
    <t>Generar informe de situación para Comité Financiero y de Inversiones</t>
  </si>
  <si>
    <t>La posibilidad de efectuar
operaciones de salida de
recursos o inversiones sin autorización,
para beneficio propio o de
terceros</t>
  </si>
  <si>
    <t>Alteración de la información financiera
Alteración de la información financiera</t>
  </si>
  <si>
    <t>Debilidad en la aplicación de controles a las operaciones financieras</t>
  </si>
  <si>
    <t>Posibilidad de afectación reputacional por Debilidad en la capacitación en materia de Atención al Ciudadano debido a Falta de conocimiento frente a la norma la política y al manejo de las PQRS</t>
  </si>
  <si>
    <t>Dirección, Gestión y Seguimiento de Proyectos</t>
  </si>
  <si>
    <t>Posibilidad de afectación reputacional por divulgación de información institucional, confusa e inoportuna debido a entrega de información incompleta por parte de los procesos</t>
  </si>
  <si>
    <t>Posibilidad de afectación económica por la imposibilidad de aplicar las estrategias de comercialización y concretar cierres de negocios, debido a las condiciones jurídicas, técnicas (normativas), que impiden la comercialización y/o desarrollo de los predios e implican gestiones demoradas para su movilización, aunadas a los valores altos del suelo, que dificultan atraer el interés de los posibles compradores.</t>
  </si>
  <si>
    <t xml:space="preserve">Siniestro ocasionado por terceros o casos fortuitos
Debilidades en la asignación y actualización de inventarios de la empresa </t>
  </si>
  <si>
    <t>El profesional responsable del inventario se hace cada cuatro (4) meses, donde se realizan las actividades descritas en el procedimiento PD-59 Administración de Inventarios, con el propósito de identificar verificar, y analizar del inventario de los bienes de propiedad o administrados por la Empresa., En caso de que se presenten inconsistencias, se verifica que el Informe preliminar
de conciliación, contenga las novedades encontradas. 
Evidencia: reportes de los inventarios actualizados.</t>
  </si>
  <si>
    <t>Realizar un muestreo cuatro (4) veces al año de los bienes incorporados en el inventario y registrado en el Sistema Administrativo y Financiero de la Empresa.</t>
  </si>
  <si>
    <t>Informar oportunamente a la Empresa de Vigilancia del Edificio</t>
  </si>
  <si>
    <t xml:space="preserve">Hacer efectivas las garantías contractuales especificadas en cada uno de los contratos </t>
  </si>
  <si>
    <t xml:space="preserve">Informar al jefe de la dependencia, y entes de control, para tomar las medidas pertinentes. </t>
  </si>
  <si>
    <t>Seguimiento inadecuado en el en los prestamos documentales y consultas en sala</t>
  </si>
  <si>
    <t xml:space="preserve">Los profesionales y técnicos del proceso de gestión documental programan anualmente capacitaciones con respecto al cumplimiento del procedimiento de préstamo y consulta documental. </t>
  </si>
  <si>
    <t xml:space="preserve">Capacitar a los colaboradores del proceso de Gestión Documental con respecto al cumplimiento del procedimiento de préstamo y consulta documental. </t>
  </si>
  <si>
    <t xml:space="preserve">Los colaboradores de Gestión Documental realizan préstamos documentales según requerimientos de las dependencias previa solicitud por correo electrónico, llevando el registro correspondiente en formato FT-111 Registro Préstamo de Documentos. </t>
  </si>
  <si>
    <t xml:space="preserve">Los profesionales y técnicos del proceso de Gestión Documental realizan el seguimiento y control mensual a los planes, programas e instrumentos archivísticos, de acuerdo con los requerimientos establecidos, con el fin de dar cumplimiento de la norma archivística del Archivo de Bogotá D.C., como evidencia de la ejecución del control quedan registrados los seguimientos en la matriz (PINAR y PGD). En caso de no cumplir o presentarse novedades en el seguimiento, se debe dejar evidenciado dentro de la matriz junto con los soportes necesarios. </t>
  </si>
  <si>
    <t>Implementación del procedimiento PD-39 Administración del Centro de Administración Documental - CAD V1 y del formato FT-33 Formato Único de Inventario Documental V2</t>
  </si>
  <si>
    <t>Los colaboradores del Centro de Administración Documental crean los expedientes electrónicos el en Sistema de Gestión de Documentos Electrónicos de Archivo (TAMPUS) de acuerdo a la solicitudes recibidas mediante correo electrónico, previa validación con las tablas de retención documental vigentes, si la solicitud cumple con todos los criterios se crea el expediente , en caso de encontrar inconsistencias en la solicitud realizada, se remite un correo electrónico informando de la misma al área solicitante.</t>
  </si>
  <si>
    <t>Implementación del procedimiento PD-25 Creación de Expedientes Virtuales V2</t>
  </si>
  <si>
    <t>el Subgerente Jurídico Cada vez que conoce de un proceso judicial o extrajudicial en el que la ERU actúa como parte activa o pasiva, designa un abogado que lleva la defensa, el abogado -apoderado revisa el proceso y valora las posibilidades de éxito procesal realizando la evaluación jurídica preliminar, esta evaluación se pone en conocimiento de los demás abogados del área de Defensa Judicial en las reuniones de equipo, en caso de requerirse se realiza una análisis que sirve para fortalecer la evaluación realizada</t>
  </si>
  <si>
    <t>El Subgerente Jurídico en calidad de Secretario Técnico convoca al Comité de Conciliación en los casos que se requieran. El apoderado realiza la ficha técnica que contiene la respectiva recomendación para la toma de decisiones. En cada audiencia judicial y extrajudicial, se suscribe un acta por las partes consignando las decisiones adoptadas en donde determina si procede o no la conciliación.</t>
  </si>
  <si>
    <t>Posibilidad de afectación reputacional debido a retrasos y/o vencimiento en los trámites contractuales por debilidad en la verificación de los requisitos para contratación por parte de los funcionarios o contratistas encargados de la Etapa Precontractual</t>
  </si>
  <si>
    <t>El profesional asignado de la Dirección de Gestión Contractual cada vez que se radica una solicitud de contratación por parte de las áreas verifica la documentación aportada de norma vigente, para que la misma corresponda a los requisitos establecidos acorde con el tipo de contratación, a través de la Lista de Chequeo (FT-23 Lista de chequeo requisitos básicos de contratación V4), con el fin de validar el cumplimiento de los requisitos jurídicos establecidos en el Sistema Integrado de Gestión definidos en el Proceso de Gestión Contractual (según corresponda).
En caso de que se presente observaciones por parte del proceso de Gestión Contractual se devuelve la solicitud junto con los documentos para que el contratista del bien o servicio realice las correcciones pertinentes.</t>
  </si>
  <si>
    <t>El profesional asignado de la Dirección de Gestión Contractual realiza seguimiento semanal a los trámites contractuales para asegurar el trámite dentro de los plazos determinados, este seguimiento queda registrado en la matriz de seguimiento a trámites contractuales. Si se detecta un inminente vencimiento se prioriza y ejecuta el trámite de manera inmediata lo cual finaliza con el visto bueno de los intervinientes.</t>
  </si>
  <si>
    <t>Al inicio de cada vigencia el Gestor senior 1 y el delegado para la empresa de la Alcaldía Mayor establecen el cronograma de cualificación para los módulos estándar de acuerdo con la necesidad de la empresa, (temáticas fechas ) Cualificación el objetivo de la cualificación es generar esas habilidades comportamentales requeridas para el trato con el ciudadano , estas actividades de cualificación pueden generarse por un capacitador o por una aplicación, resultado de las mismas quedan los listados de asistencia y la presentación .</t>
  </si>
  <si>
    <t>El proceso de Atención al ciudadano da alcance a las respuestas que no fueron de fondo de acuerdo con el informe de seguimiento que emite la Alcaldía Mayor (INFORME CONSOLIDADO SOBRE LA CALIDAD Y OPORTUNIDAD DE LAS RESPUESTAS EMITIDAS EN EL SISTEMA DISTRITAL PARA LA GESTIÓN DE PETICIONES CIUDADANAS – BOGOTÁ TE ESCUCH).
En los casos que corresponda se emite un memorando a la dependencia en la que se presenta la situación con copia a Oficina de Control Interno reportando el hecho.</t>
  </si>
  <si>
    <t xml:space="preserve">Los profesionales del proceso de Gestión de TIC configuran la copia automática del sistema JSP7 Gobierno, TAMPUS, GLPI , e Intranet de respaldo de la información contenida en los servidores de la Empresa con una periodicidad de cada 12 horas, como evidencia la copia de respaldo queda almacenada en repositorios, y es verificada una vez al mes por parte del profesional responsable del proceso de Gestión de Tics, con el propósito de contar con información actualizada en caso de que se presente una falla. </t>
  </si>
  <si>
    <t>Back up y restauración de información
Modificaciones al plan de adquisiciones.</t>
  </si>
  <si>
    <t>El profesional del proceso de gestión de TIC asignado envía de manera anual correos electrónicos a las áreas para solicitar la identificación de las necesidades de adquisición de productos y servicios de tecnología, que apoyen la gestión institucional. Posteriormente se realiza una evaluación de necesidades y se proyecta el presupuesto necesario para la siguiente vigencia. Cuando en el análisis se identifiquen herramientas a las cuales no se puede acceder, se proponen las alternativas correspondientes.</t>
  </si>
  <si>
    <t>El aplicativo ENTUITY de manera permanente realiza monitoreo web a la infraestructura tecnológica compuesta por canales de datos, canal internet y equipos tipo servidor, para verificar la disponibilidad y el estado del funcionamiento de los aplicativos, al encontrar una falla envía un correo de alerta al proceso Gestión de TIC para adelantar las acciones que corresponda.</t>
  </si>
  <si>
    <t>Realizar seguimiento al contrato que soporta los servicios de TI, capacitar al personal del proceso de Gestión de TIC de acuerdo con la necesidad</t>
  </si>
  <si>
    <t>Se cuenta con una previa revisión y verificación de la información tributaria por parte de la Revisoría Fiscal y Asesores Tributarios, con el fin de asegurar la integridad y calidad de la información a remitir a las diferentes entidades del orden nacional y distrital.</t>
  </si>
  <si>
    <t xml:space="preserve">Comunicar al proceso auditado la declaración del trabajo de auditoria como no conforme o nulo.
Analizar las causas que originaron el caso y rediseñar los controles operativos para prevenir la repetición de la situación detectada.
Investigar internamente el caso y, de encontrarse procedente, comunicar a la Dirección de Gestión Corporativa y de Control Disciplinario.
</t>
  </si>
  <si>
    <t>Bajos niveles de agregación de valor para mejorar las operaciones en los procesos de gobierno, riesgos y control</t>
  </si>
  <si>
    <t>Posibilidad de afectación reputacional por escepticismo e incredulidad en los trabajos de aseguramiento y consulta debido a que los resultados no agreguen valor ni mejoren las operaciones de la Empresa en los procesos de gobierno, riesgos y control.</t>
  </si>
  <si>
    <t>Fuente: Adaptado de Curso Riesgo Operativo Universidad del Rosario por Dirección de Gestión y Desempeño Institucional de Función Pública, 2020.</t>
  </si>
  <si>
    <t xml:space="preserve">
Inadecuada seguimiento a la planeación Institucional</t>
  </si>
  <si>
    <t xml:space="preserve">Verificar el adecuado diligenciamiento y actualización de los inventarios documentales </t>
  </si>
  <si>
    <t>El Servidor del punto de contacto envía al profesional de Atención al ciudadano al finalizar el mes el reporte de las quejas y reclamos , que servirá como insumo para el registro en la Matriz de seguimiento a quejas y reclamos de acuerdo con la magnitud de la queja o reclamo los mismos serán elevados al Comité Institucional de Gestión y Desempeño.</t>
  </si>
  <si>
    <t>Inicia con la planeación de las estrategias de defensa jurídica y prevención del daño antijurídico, el seguimiento
de los procesos judiciales y extrajudiciales de los cuales sea parte la Empresa, incluye dar respuesta a las
solicitudes de conceptos, asesoría a clientes internos y externos, análisis y expedición de actos administrativos
a los que haya lugar, en el desarrollo del objeto social de la Empresa, lo anterior para prevenir cualquier tipo de
daño antijurídico.</t>
  </si>
  <si>
    <t xml:space="preserve">Los profesionales del proceso de Gestión de TIC, realizan un monitoreo diario de la infraestructura de TI de la entidad, utilizando herramientas de monitoreo, protección y tableros de control, ingresando a la plataforma o revisando que no hayan enviado alertas de correo electrónico sobre fallos en los sistemas, una vez revisado se generan reportes mensuales los cuales son trasladados a los expedientes contractuales. El proveedor también realiza revisión de alertas e informa inmediatamente al profesional de sistemas si se encuentran alguna anormalidad. </t>
  </si>
  <si>
    <t>El propósito del control es evitar que queden equipos pendientes de mantenimiento preventivo, esta actividad se realiza a través de un profesional del área de sistemas que imprime el acta desde el sistema JSp7 módulo de activos fijos y la hace firmar del usuario y del técnico que realiza el mantenimiento, la evidencia se encuentra archivada en el expediente de los contratos de mantenimiento preventivo, dos veces al año.</t>
  </si>
  <si>
    <t xml:space="preserve">Administrar y controlar los recursos financieros de la Empresa de acuerdo con los parámetros establecidos por la normatividad vigente, que garanticen la disponibilidad de recursos económicos para el cumplimiento de los planes y programas de esta, la confiabilidad, razonabilidad y oportunidad de la información financiera que sirva como fuente de información para la toma de decisiones. </t>
  </si>
  <si>
    <t xml:space="preserve">Brindar atención a la ciudadanía sobre los proyectos, trámites y servicios de la empresa y administrar el Sistema Distrital para la Gestión de Peticiones Ciudadanas Bogotá te escucha, garantista de derechos ciudadanos. </t>
  </si>
  <si>
    <t>Diseñar e implementar estrategias de comunicación internas y externas, con el propósito de informar, promocionar, posicionar, visibilizar y sensibilizar a los diferentes grupos de interés acerca de los proyectos y el quehacer de la empresa, de una manera veraz, clara y oportuna a través de los diferentes canales de comunicación que para ello defina la Empresa.</t>
  </si>
  <si>
    <t>Administrar, gestionar y realizar seguimiento al desarrollo integral de los proyectos urbanos para garantizar su ejecución de acuerdo con sus objetivos y la misionalidad de la empresa.</t>
  </si>
  <si>
    <t>Gestionar la elaboración de los estudios, diseños técnicos y urbanísticos; ejecutar las obras de urbanismo y construcción necesarias para el desarrollo de los proyectos de la empresa y entregar las cesiones públicas a empresas de servicios públicos, IDU, IDRD y al DADEP.</t>
  </si>
  <si>
    <t>Brindar oportunidad y eficiencia en el suministro de recursos físicos y servicios de apoyo administrativo para el cumplimiento de los objetivos misionales y el normal funcionamiento de los procesos de la Empresa.</t>
  </si>
  <si>
    <t>Dirigir los procesos jurídicos necesarios para la implementación de proyectos misionales y ejercer la representación judicial y extrajudicial de la Empresa, con base en los lineamientos contemplados en el Manual de Prevención del Daño Antijurídico y las Políticas que se adopten con el fin de garantizar la prevención del daño antijurídico.</t>
  </si>
  <si>
    <t xml:space="preserve">Fortalecer los hábitos de consumo sostenible y responsable de los recursos naturales, a través de la implementación del PIGA y PACA, con el fin de minimizar los impactos derivados de las actividades inherentes a la misionalidad de la Empresa y contribuir a la mitigación del Cambio Climático en Bogotá. </t>
  </si>
  <si>
    <t>Brindar atención a la ciudadanía sobre los proyectos, trámites y servicios de la empresa y administrar el Sistema Distrital para la Gestión de Peticiones Ciudadanas Bogotá te escucha, garantista de derechos ciudadanos.</t>
  </si>
  <si>
    <t>Gestionar de manera integral las tecnologías de la información, prestando servicios acordes a las necesidades de la empresa y formular lineamientos relacionados con estándares y buenas prácticas para el manejo de la información.</t>
  </si>
  <si>
    <t>Generar el reporte a los entes internos y externos que corresponda</t>
  </si>
  <si>
    <t>Se cuenta con conciliación de información contable, presupuestal y de tesorería, el cual es de cumplimiento por los profesionales de cada proceso, allí se confronta la información registrada frente a la ejecutada de los recursos financieros de la Empresa con una periodicidad mensual, con el propósito de asegurar el seguimiento a los recursos financiero de la empresa.</t>
  </si>
  <si>
    <t>El Tesorero General cada vez que se realiza el cargue del archivo plano de pagos a terceros en el portal bancario por el profesional de la Tesorería, verifica que esté acorde a la orden de pago y sus documentos soporte, si no hay novedades se realiza la probación del pago, en caso de presentarse novedades con los soportes de pago se remite un correo electrónico al profesional de la tesorería para su validación.</t>
  </si>
  <si>
    <t>Elaborar un protocolo de seguridad de tesorería</t>
  </si>
  <si>
    <t>El profesional de tesorería cada vez que se recepciona un pago verifica que los documentos requeridos para trámite y pago por los diferentes conceptos estén en el Sistema de Gestión Documental, en donde verifica:
- Que el valor y periodo a cobrar corresponda a lo establecido en el contrato o en el acto administrativo debidamente legalizado.
- El pago de aportes de parafiscales y documentos soportes de pago estén acorde con lo establecido por Ley.
- El Certificado de cumplimiento este acorde con la factura electrónica y/o documento de pago del proveedor y se encuentre en los tiempos estipulados, si el tramite de pago cumple con todos los requisitos establecidos continua el tramite de pago, en caso de presentarse inconsistencia se devuelve al tercero, ( a través del sistema de información y se informa a través de correo electrónico )</t>
  </si>
  <si>
    <t>El profesional de Tesorería realiza el cargue del proceso de pago en el portal bancario con su token y contraseña asignada, posteriormente, el Tesorero General realiza la revisión del cargue y aprueba el proceso de pago con su token y contraseña personal.
La aprobación final de pago se da por parte del Subgerente de Gestión Corporativa con su token y contraseña asignada.</t>
  </si>
  <si>
    <t>Mapa Riesgos Institucional Empresa de Renovación y Desarrollo Urbano de Bogotá -  2021 V4</t>
  </si>
  <si>
    <r>
      <rPr>
        <b/>
        <sz val="11"/>
        <rFont val="Arial Narrow"/>
        <family val="2"/>
      </rPr>
      <t>RIESGO ASOCIADO A TRÁMITES:</t>
    </r>
    <r>
      <rPr>
        <sz val="11"/>
        <rFont val="Arial Narrow"/>
        <family val="2"/>
      </rPr>
      <t xml:space="preserve">
Posibilidad de afectación reputacional debido al cobro por parte de funcionarios públicos o contratistas a los ciudadanos para la asesoría del trámite "Cumplimiento de la obligación VIS-VIP a través de compensación económica", por la falta de información o claridad de los consultores en el inicio y fin del trámite que surte la empresa.</t>
    </r>
  </si>
  <si>
    <t>Presiones de grupos de interés.</t>
  </si>
  <si>
    <t>Debilidad en los controles establecidos.</t>
  </si>
  <si>
    <t>El Equipo de Estudios Previos, elabora los documentos técnicos (Estudios previos, Anexo técnico, Estudio de mercado y análisis del sector), los cuales son revisados en primera instancia por el líder del Equipo de Estudios Previos y por el área generadora de la necesidad de contratación, las observaciones presentadas son ajustadas por el Equipo de Estudios Previos. Una vez se han ajustado los documentos, éstos son remitidos al abogado designado por la Dirección de Gestión Contractual para una revisión inicial previa al Comité de Contratación. El Subgerente de Desarrollo de Proyectos presenta el proyecto para aprobación al Comité de Contratación, se atienden las observaciones (cuando aplique) y finalmente el Subgerente de Desarrollo de Proyectos radica la solicitud de los procesos de selección y contratación a la Dirección de Gestión Contractual para la elaboración de los términos de referencia correspondiente. Si el proceso se debe adelantar con recursos de Fiducia, se presenta al Comité Fiduciario para aprobación. Una vez aprobado por este Comité se remite al área jurídica de la Fiducia para revisión de los términos de referencia.</t>
  </si>
  <si>
    <t>Realizar socializaciones sobre los valores de la Empresa al equipo de la SGDP.</t>
  </si>
  <si>
    <t>Informar a las instancias internas y externas de control que corresponda.</t>
  </si>
  <si>
    <t>Incumplimiento de los requisitos técnicos.</t>
  </si>
  <si>
    <t>Los profesionales de apoyo a la supervisión realizan seguimiento a las Interventorías, mediante la revisión de los informes de Interventoría y acompañamiento en comités (actas) en las cuales se evidencia el estado del proyecto. La interventoría es quien realiza el recibo de la obra, bienes o insumos contratados, valida, y aprueba productos, estudios y obras, verificando la cantidad y calidad de los bienes servicios u obras contratadas y aprobación o rechazo de las actas de obra ejecutada, por lo cual la supervisión será garante del cumplimiento de las labores de la interventoría, y esta a su vez del cumplimiento de las obligaciones del consultor o constructor.</t>
  </si>
  <si>
    <t>Realizar visita técnica a la obra y/o registro fotográfico y/o Acta de reunión por parte del Supervisor.</t>
  </si>
  <si>
    <t>Incumplimiento de los requisitos exigidos por las Entidades competentes para la entrega de las obras urbanismo.</t>
  </si>
  <si>
    <t>Posibilidad de afectación económica y reputacional por multas, sanciones o demandas debido al incumplimiento de requisitos exigidos por las Entidades competentes para la entrega de las obras urbanismo.</t>
  </si>
  <si>
    <t>Los profesionales de apoyo a la Supervisión de la Subgerencia de Desarrollo de Proyectos, deberán dar cumplimiento a lo establecido en el procedimiento PD-90 Recibo y entrega de obras y áreas de cesiones públicas, en el cual se solicita la revisión oportuna de los requisitos mínimos para la entrega de la obra al Empresas de Servicios Públicos, IDRD, IDU, UAESP y por último al DADEP diligenciando el formato FT-193 Requisitos mínimos para entrega de obra, y estableciendo el estado actual de los requisitos exigidos por las Entidades competentes, registrando en la columna "Se cuenta con la Certificación" (SI), en caso contrario, deberá revisar las acciones a seguir y requerirá al interventor para el cumplimiento del requisito.</t>
  </si>
  <si>
    <t>Realizar socializaciones sobre los requisitos exigidos por las Entidades Competentes, de acuerdo a lo establecido en el Procedimiento PD-90 Recibo y entrega de obras y áreas de cesiones públicas.</t>
  </si>
  <si>
    <t>Dejar la obra en condiciones de recibo, revisar que falta para entregar y verificar que lo que ya está se pueda entregar e ir entregando en la medida en que se vaya terminando.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</si>
</sst>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m/yyyy"/>
    <numFmt numFmtId="166" formatCode="dd/mm/yyyy"/>
  </numFmts>
  <fonts count="6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i/>
      <sz val="11"/>
      <color theme="1"/>
      <name val="Arial Narrow"/>
      <family val="2"/>
    </font>
    <font>
      <sz val="11"/>
      <color rgb="FF000000"/>
      <name val="Arial Narrow"/>
      <family val="2"/>
      <charset val="1"/>
    </font>
    <font>
      <sz val="11"/>
      <name val="Arial Narrow"/>
      <family val="2"/>
      <charset val="1"/>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86">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style="medium">
        <color indexed="64"/>
      </left>
      <right/>
      <top/>
      <bottom style="medium">
        <color theme="1"/>
      </bottom>
      <diagonal/>
    </border>
    <border>
      <left/>
      <right style="medium">
        <color theme="1"/>
      </right>
      <top/>
      <bottom style="medium">
        <color theme="1"/>
      </bottom>
      <diagonal/>
    </border>
    <border>
      <left style="dotted">
        <color rgb="FFE36C09"/>
      </left>
      <right style="dotted">
        <color rgb="FFE36C09"/>
      </right>
      <top style="dotted">
        <color rgb="FFE36C09"/>
      </top>
      <bottom style="dotted">
        <color rgb="FFE36C09"/>
      </bottom>
      <diagonal/>
    </border>
    <border>
      <left style="dashed">
        <color rgb="FFE46C0A"/>
      </left>
      <right style="dashed">
        <color rgb="FFE46C0A"/>
      </right>
      <top style="dashed">
        <color rgb="FFE46C0A"/>
      </top>
      <bottom style="dashed">
        <color rgb="FFE46C0A"/>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426">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1" xfId="0" applyFont="1" applyFill="1" applyBorder="1" applyAlignment="1">
      <alignment horizontal="center" vertical="center" wrapText="1" readingOrder="1"/>
    </xf>
    <xf numFmtId="0" fontId="10" fillId="0" borderId="11" xfId="0" applyFont="1" applyBorder="1" applyAlignment="1">
      <alignment horizontal="justify" vertical="center" wrapText="1" readingOrder="1"/>
    </xf>
    <xf numFmtId="9" fontId="10" fillId="0" borderId="11"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7" fillId="0" borderId="0" xfId="0" applyFont="1" applyFill="1" applyAlignment="1">
      <alignment vertical="center"/>
    </xf>
    <xf numFmtId="0" fontId="28" fillId="0" borderId="0" xfId="0" applyFont="1" applyFill="1"/>
    <xf numFmtId="0" fontId="26" fillId="0" borderId="0" xfId="0" applyFont="1"/>
    <xf numFmtId="0" fontId="0" fillId="0" borderId="0" xfId="0" pivotButton="1"/>
    <xf numFmtId="0" fontId="12" fillId="0" borderId="0" xfId="0" applyFont="1" applyBorder="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11"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11"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11"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2" borderId="12" xfId="0" applyFont="1" applyFill="1" applyBorder="1" applyAlignment="1" applyProtection="1">
      <alignment horizontal="center" wrapText="1" readingOrder="1"/>
      <protection hidden="1"/>
    </xf>
    <xf numFmtId="0" fontId="19" fillId="12" borderId="19" xfId="0" applyFont="1" applyFill="1" applyBorder="1" applyAlignment="1" applyProtection="1">
      <alignment horizont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2" borderId="14"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16" xfId="0" applyFont="1" applyFill="1" applyBorder="1" applyAlignment="1" applyProtection="1">
      <alignment horizontal="center" wrapText="1" readingOrder="1"/>
      <protection hidden="1"/>
    </xf>
    <xf numFmtId="0" fontId="19" fillId="12" borderId="18"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19" xfId="0" applyFont="1" applyFill="1" applyBorder="1" applyAlignment="1" applyProtection="1">
      <alignment horizontal="center" wrapText="1" readingOrder="1"/>
      <protection hidden="1"/>
    </xf>
    <xf numFmtId="0" fontId="19" fillId="13" borderId="14"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16" xfId="0" applyFont="1" applyFill="1" applyBorder="1" applyAlignment="1" applyProtection="1">
      <alignment horizontal="center" wrapText="1" readingOrder="1"/>
      <protection hidden="1"/>
    </xf>
    <xf numFmtId="0" fontId="19" fillId="13" borderId="18" xfId="0" applyFont="1" applyFill="1" applyBorder="1" applyAlignment="1" applyProtection="1">
      <alignment horizontal="center" wrapText="1" readingOrder="1"/>
      <protection hidden="1"/>
    </xf>
    <xf numFmtId="0" fontId="19" fillId="5" borderId="19"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18" xfId="0" applyFont="1" applyFill="1" applyBorder="1" applyAlignment="1" applyProtection="1">
      <alignment horizontal="center" wrapText="1" readingOrder="1"/>
      <protection hidden="1"/>
    </xf>
    <xf numFmtId="0" fontId="0" fillId="3" borderId="0" xfId="0" applyFill="1"/>
    <xf numFmtId="0" fontId="48" fillId="3" borderId="51" xfId="2" applyFont="1" applyFill="1" applyBorder="1" applyProtection="1"/>
    <xf numFmtId="0" fontId="48" fillId="3" borderId="52" xfId="2" applyFont="1" applyFill="1" applyBorder="1" applyProtection="1"/>
    <xf numFmtId="0" fontId="48" fillId="3" borderId="53" xfId="2" applyFont="1" applyFill="1" applyBorder="1" applyProtection="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34" xfId="0" applyFont="1" applyFill="1" applyBorder="1" applyAlignment="1">
      <alignment horizontal="center" vertical="center" wrapText="1" readingOrder="1"/>
    </xf>
    <xf numFmtId="0" fontId="37" fillId="3" borderId="34" xfId="0" applyFont="1" applyFill="1" applyBorder="1" applyAlignment="1">
      <alignment horizontal="justify" vertical="center" wrapText="1" readingOrder="1"/>
    </xf>
    <xf numFmtId="9" fontId="36" fillId="3" borderId="43" xfId="0" applyNumberFormat="1"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7" fillId="3" borderId="33" xfId="0" applyFont="1" applyFill="1" applyBorder="1" applyAlignment="1">
      <alignment horizontal="justify" vertical="center" wrapText="1" readingOrder="1"/>
    </xf>
    <xf numFmtId="9" fontId="36" fillId="3" borderId="38" xfId="0" applyNumberFormat="1" applyFont="1" applyFill="1" applyBorder="1" applyAlignment="1">
      <alignment horizontal="center" vertical="center" wrapText="1" readingOrder="1"/>
    </xf>
    <xf numFmtId="0" fontId="37" fillId="3" borderId="38"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xf numFmtId="0" fontId="37" fillId="3" borderId="40" xfId="0" applyFont="1" applyFill="1" applyBorder="1" applyAlignment="1">
      <alignment horizontal="justify" vertical="center" wrapText="1" readingOrder="1"/>
    </xf>
    <xf numFmtId="0" fontId="37" fillId="3" borderId="41" xfId="0" applyFont="1" applyFill="1" applyBorder="1" applyAlignment="1">
      <alignment horizontal="center" vertical="center" wrapText="1" readingOrder="1"/>
    </xf>
    <xf numFmtId="0" fontId="45" fillId="3" borderId="0" xfId="0" applyFont="1" applyFill="1"/>
    <xf numFmtId="0" fontId="36" fillId="15" borderId="45" xfId="0" applyFont="1" applyFill="1" applyBorder="1" applyAlignment="1">
      <alignment horizontal="center" vertical="center" wrapText="1" readingOrder="1"/>
    </xf>
    <xf numFmtId="0" fontId="36" fillId="15" borderId="46"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Border="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14" xfId="2" applyFont="1" applyFill="1" applyBorder="1" applyProtection="1"/>
    <xf numFmtId="0" fontId="53" fillId="3" borderId="0" xfId="0" applyFont="1" applyFill="1" applyBorder="1" applyAlignment="1" applyProtection="1">
      <alignment horizontal="left" vertical="center" wrapText="1"/>
    </xf>
    <xf numFmtId="0" fontId="54" fillId="3" borderId="0" xfId="0" applyFont="1" applyFill="1" applyBorder="1" applyAlignment="1" applyProtection="1">
      <alignment horizontal="left" vertical="top" wrapText="1"/>
    </xf>
    <xf numFmtId="0" fontId="48" fillId="3" borderId="0" xfId="2" applyFont="1" applyFill="1" applyBorder="1" applyProtection="1"/>
    <xf numFmtId="0" fontId="48" fillId="3" borderId="15" xfId="2" applyFont="1" applyFill="1" applyBorder="1" applyProtection="1"/>
    <xf numFmtId="0" fontId="48" fillId="3" borderId="16" xfId="2" applyFont="1" applyFill="1" applyBorder="1" applyProtection="1"/>
    <xf numFmtId="0" fontId="48" fillId="3" borderId="18" xfId="2" applyFont="1" applyFill="1" applyBorder="1" applyProtection="1"/>
    <xf numFmtId="0" fontId="48" fillId="3" borderId="17" xfId="2" applyFont="1" applyFill="1" applyBorder="1" applyProtection="1"/>
    <xf numFmtId="0" fontId="52" fillId="3" borderId="0" xfId="2" applyFont="1" applyFill="1" applyBorder="1" applyAlignment="1" applyProtection="1">
      <alignment horizontal="left" vertical="center" wrapText="1"/>
    </xf>
    <xf numFmtId="0" fontId="48" fillId="3" borderId="0" xfId="2" applyFont="1" applyFill="1" applyBorder="1" applyAlignment="1" applyProtection="1">
      <alignment horizontal="left" vertical="center" wrapText="1"/>
    </xf>
    <xf numFmtId="0" fontId="48" fillId="3" borderId="0" xfId="2" quotePrefix="1" applyFont="1" applyFill="1" applyBorder="1" applyAlignment="1" applyProtection="1">
      <alignment horizontal="left" vertical="center" wrapText="1"/>
    </xf>
    <xf numFmtId="0" fontId="48" fillId="3" borderId="15" xfId="2" applyFont="1" applyFill="1" applyBorder="1" applyAlignment="1" applyProtection="1"/>
    <xf numFmtId="0" fontId="50" fillId="3" borderId="14" xfId="2" quotePrefix="1" applyFont="1" applyFill="1" applyBorder="1" applyAlignment="1" applyProtection="1">
      <alignment horizontal="left" vertical="top" wrapText="1"/>
    </xf>
    <xf numFmtId="0" fontId="51" fillId="3" borderId="0" xfId="2" quotePrefix="1" applyFont="1" applyFill="1" applyBorder="1" applyAlignment="1" applyProtection="1">
      <alignment horizontal="left" vertical="top" wrapText="1"/>
    </xf>
    <xf numFmtId="0" fontId="51" fillId="3" borderId="15" xfId="2" quotePrefix="1" applyFont="1" applyFill="1" applyBorder="1" applyAlignment="1" applyProtection="1">
      <alignment horizontal="left" vertical="top" wrapText="1"/>
    </xf>
    <xf numFmtId="0" fontId="1" fillId="0" borderId="6" xfId="0" applyFont="1" applyBorder="1" applyAlignment="1">
      <alignment horizontal="center" vertical="center"/>
    </xf>
    <xf numFmtId="0" fontId="1" fillId="0" borderId="2" xfId="0" applyFont="1" applyBorder="1" applyAlignment="1" applyProtection="1">
      <alignment horizontal="center" vertical="center"/>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 fillId="0" borderId="2" xfId="0" applyFont="1" applyFill="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9" fillId="12" borderId="13" xfId="0" applyFont="1" applyFill="1" applyBorder="1" applyAlignment="1" applyProtection="1">
      <alignment horizontal="center" wrapText="1" readingOrder="1"/>
      <protection hidden="1"/>
    </xf>
    <xf numFmtId="0" fontId="19" fillId="12" borderId="15" xfId="0" applyFont="1" applyFill="1" applyBorder="1" applyAlignment="1" applyProtection="1">
      <alignment horizontal="center" wrapText="1" readingOrder="1"/>
      <protection hidden="1"/>
    </xf>
    <xf numFmtId="0" fontId="19" fillId="12" borderId="17" xfId="0" applyFont="1" applyFill="1" applyBorder="1" applyAlignment="1" applyProtection="1">
      <alignment horizont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19" fillId="13" borderId="13" xfId="0" applyFont="1" applyFill="1" applyBorder="1" applyAlignment="1" applyProtection="1">
      <alignment horizontal="center" wrapText="1" readingOrder="1"/>
      <protection hidden="1"/>
    </xf>
    <xf numFmtId="0" fontId="19" fillId="13" borderId="15" xfId="0" applyFont="1" applyFill="1" applyBorder="1" applyAlignment="1" applyProtection="1">
      <alignment horizontal="center" wrapText="1" readingOrder="1"/>
      <protection hidden="1"/>
    </xf>
    <xf numFmtId="0" fontId="19" fillId="13" borderId="17"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13" xfId="0" applyFont="1" applyFill="1" applyBorder="1" applyAlignment="1" applyProtection="1">
      <alignment horizontal="center" wrapText="1" readingOrder="1"/>
      <protection hidden="1"/>
    </xf>
    <xf numFmtId="0" fontId="19" fillId="5" borderId="14" xfId="0" applyFont="1" applyFill="1" applyBorder="1" applyAlignment="1" applyProtection="1">
      <alignment horizontal="center" wrapText="1" readingOrder="1"/>
      <protection hidden="1"/>
    </xf>
    <xf numFmtId="0" fontId="19" fillId="5" borderId="15" xfId="0" applyFont="1" applyFill="1" applyBorder="1" applyAlignment="1" applyProtection="1">
      <alignment horizontal="center" wrapText="1" readingOrder="1"/>
      <protection hidden="1"/>
    </xf>
    <xf numFmtId="0" fontId="19" fillId="5" borderId="16" xfId="0" applyFont="1" applyFill="1" applyBorder="1" applyAlignment="1" applyProtection="1">
      <alignment horizontal="center" wrapText="1" readingOrder="1"/>
      <protection hidden="1"/>
    </xf>
    <xf numFmtId="0" fontId="19" fillId="5" borderId="17" xfId="0" applyFont="1" applyFill="1" applyBorder="1" applyAlignment="1" applyProtection="1">
      <alignment horizontal="center" wrapText="1" readingOrder="1"/>
      <protection hidden="1"/>
    </xf>
    <xf numFmtId="0" fontId="2"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wrapText="1"/>
      <protection locked="0"/>
    </xf>
    <xf numFmtId="0" fontId="48" fillId="0" borderId="2" xfId="0" applyFont="1" applyBorder="1" applyAlignment="1" applyProtection="1">
      <alignment horizontal="justify" vertical="center" wrapText="1"/>
      <protection locked="0"/>
    </xf>
    <xf numFmtId="0" fontId="6" fillId="0" borderId="2" xfId="0" applyFont="1" applyBorder="1" applyAlignment="1" applyProtection="1">
      <alignment horizontal="center" vertical="center"/>
      <protection locked="0"/>
    </xf>
    <xf numFmtId="14" fontId="6" fillId="0" borderId="2" xfId="0" applyNumberFormat="1" applyFont="1" applyBorder="1" applyAlignment="1" applyProtection="1">
      <alignment horizontal="center" vertical="center"/>
      <protection locked="0"/>
    </xf>
    <xf numFmtId="0" fontId="1" fillId="0" borderId="84" xfId="0" applyFont="1" applyBorder="1" applyAlignment="1">
      <alignment horizontal="center" vertical="center" wrapText="1"/>
    </xf>
    <xf numFmtId="0" fontId="1" fillId="0" borderId="84" xfId="0" applyFont="1" applyBorder="1" applyAlignment="1">
      <alignment horizontal="center" vertical="center"/>
    </xf>
    <xf numFmtId="165" fontId="1" fillId="0" borderId="84" xfId="0" applyNumberFormat="1" applyFont="1" applyBorder="1" applyAlignment="1">
      <alignment horizontal="center" vertical="center"/>
    </xf>
    <xf numFmtId="164" fontId="1" fillId="3" borderId="2" xfId="1" applyNumberFormat="1" applyFont="1" applyFill="1" applyBorder="1" applyAlignment="1">
      <alignment horizontal="center" vertical="center"/>
    </xf>
    <xf numFmtId="0" fontId="2" fillId="0" borderId="2" xfId="0" applyFont="1" applyBorder="1" applyAlignment="1" applyProtection="1">
      <alignment horizontal="center" vertical="center"/>
      <protection locked="0"/>
    </xf>
    <xf numFmtId="14" fontId="2"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justify" vertical="center" wrapText="1"/>
      <protection locked="0"/>
    </xf>
    <xf numFmtId="164" fontId="2" fillId="0" borderId="2" xfId="1" applyNumberFormat="1" applyFont="1" applyBorder="1" applyAlignment="1">
      <alignment horizontal="center" vertical="center"/>
    </xf>
    <xf numFmtId="0" fontId="58" fillId="0" borderId="85" xfId="0" applyFont="1" applyBorder="1" applyAlignment="1" applyProtection="1">
      <alignment horizontal="center" vertical="center"/>
      <protection locked="0"/>
    </xf>
    <xf numFmtId="166" fontId="58" fillId="0" borderId="85" xfId="0" applyNumberFormat="1" applyFont="1" applyBorder="1" applyAlignment="1" applyProtection="1">
      <alignment horizontal="center" vertical="center"/>
      <protection locked="0"/>
    </xf>
    <xf numFmtId="0" fontId="1" fillId="0" borderId="2" xfId="0" applyFont="1" applyBorder="1" applyAlignment="1" applyProtection="1">
      <alignment horizontal="justify" vertical="center" wrapText="1"/>
      <protection locked="0"/>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0" fontId="6" fillId="0" borderId="2" xfId="0" applyFont="1" applyFill="1" applyBorder="1" applyAlignment="1" applyProtection="1">
      <alignment horizontal="justify" vertical="center" wrapText="1"/>
      <protection locked="0"/>
    </xf>
    <xf numFmtId="0" fontId="1" fillId="0" borderId="84" xfId="0" applyFont="1" applyBorder="1" applyAlignment="1">
      <alignment horizontal="justify" vertical="center" wrapText="1"/>
    </xf>
    <xf numFmtId="0" fontId="1" fillId="0" borderId="2" xfId="0" quotePrefix="1" applyFont="1" applyBorder="1" applyAlignment="1" applyProtection="1">
      <alignment horizontal="justify" vertical="center" wrapText="1"/>
      <protection locked="0"/>
    </xf>
    <xf numFmtId="0" fontId="58" fillId="0" borderId="85" xfId="0" applyFont="1" applyBorder="1" applyAlignment="1" applyProtection="1">
      <alignment horizontal="justify" vertical="center" wrapText="1"/>
      <protection locked="0"/>
    </xf>
    <xf numFmtId="0" fontId="59" fillId="0" borderId="85" xfId="0" applyFont="1" applyBorder="1" applyAlignment="1" applyProtection="1">
      <alignment horizontal="justify" vertical="center" wrapText="1"/>
      <protection locked="0"/>
    </xf>
    <xf numFmtId="0" fontId="1" fillId="0" borderId="6"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84" xfId="0" applyFont="1" applyBorder="1" applyAlignment="1">
      <alignment horizontal="justify" vertical="center" wrapText="1"/>
    </xf>
    <xf numFmtId="0" fontId="48" fillId="0" borderId="2" xfId="0" applyFont="1" applyFill="1" applyBorder="1" applyAlignment="1" applyProtection="1">
      <alignment horizontal="center" vertical="center"/>
      <protection locked="0"/>
    </xf>
    <xf numFmtId="14" fontId="48" fillId="0" borderId="2" xfId="0" applyNumberFormat="1" applyFont="1" applyFill="1" applyBorder="1" applyAlignment="1" applyProtection="1">
      <alignment horizontal="center" vertical="center"/>
      <protection locked="0"/>
    </xf>
    <xf numFmtId="14" fontId="48" fillId="0" borderId="2" xfId="0" applyNumberFormat="1" applyFont="1" applyBorder="1" applyAlignment="1" applyProtection="1">
      <alignment horizontal="center" vertical="center"/>
      <protection locked="0"/>
    </xf>
    <xf numFmtId="0" fontId="54" fillId="3" borderId="64" xfId="2" applyFont="1" applyFill="1" applyBorder="1" applyAlignment="1" applyProtection="1">
      <alignment horizontal="justify" vertical="center" wrapText="1"/>
    </xf>
    <xf numFmtId="0" fontId="54" fillId="3" borderId="65" xfId="2" applyFont="1" applyFill="1" applyBorder="1" applyAlignment="1" applyProtection="1">
      <alignment horizontal="justify" vertical="center" wrapText="1"/>
    </xf>
    <xf numFmtId="0" fontId="53" fillId="3" borderId="71" xfId="0" applyFont="1" applyFill="1" applyBorder="1" applyAlignment="1" applyProtection="1">
      <alignment horizontal="left" vertical="center" wrapText="1"/>
    </xf>
    <xf numFmtId="0" fontId="53" fillId="3" borderId="72" xfId="0" applyFont="1" applyFill="1" applyBorder="1" applyAlignment="1" applyProtection="1">
      <alignment horizontal="left" vertical="center" wrapText="1"/>
    </xf>
    <xf numFmtId="0" fontId="53" fillId="3" borderId="58" xfId="3" applyFont="1" applyFill="1" applyBorder="1" applyAlignment="1" applyProtection="1">
      <alignment horizontal="left" vertical="top" wrapText="1" readingOrder="1"/>
    </xf>
    <xf numFmtId="0" fontId="53" fillId="3" borderId="59" xfId="3" applyFont="1" applyFill="1" applyBorder="1" applyAlignment="1" applyProtection="1">
      <alignment horizontal="left" vertical="top" wrapText="1" readingOrder="1"/>
    </xf>
    <xf numFmtId="0" fontId="54" fillId="3" borderId="60" xfId="2" applyFont="1" applyFill="1" applyBorder="1" applyAlignment="1" applyProtection="1">
      <alignment horizontal="justify" vertical="center" wrapText="1"/>
    </xf>
    <xf numFmtId="0" fontId="54" fillId="3" borderId="61" xfId="2" applyFont="1" applyFill="1" applyBorder="1" applyAlignment="1" applyProtection="1">
      <alignment horizontal="justify" vertical="center" wrapText="1"/>
    </xf>
    <xf numFmtId="0" fontId="53" fillId="3" borderId="62" xfId="0" applyFont="1" applyFill="1" applyBorder="1" applyAlignment="1" applyProtection="1">
      <alignment horizontal="left" vertical="center" wrapText="1"/>
    </xf>
    <xf numFmtId="0" fontId="53" fillId="3" borderId="63" xfId="0" applyFont="1" applyFill="1" applyBorder="1" applyAlignment="1" applyProtection="1">
      <alignment horizontal="left" vertical="center" wrapText="1"/>
    </xf>
    <xf numFmtId="0" fontId="48" fillId="3" borderId="14" xfId="2" applyFont="1" applyFill="1" applyBorder="1" applyAlignment="1" applyProtection="1">
      <alignment horizontal="left" vertical="top" wrapText="1"/>
    </xf>
    <xf numFmtId="0" fontId="48" fillId="3" borderId="0" xfId="2" applyFont="1" applyFill="1" applyBorder="1" applyAlignment="1" applyProtection="1">
      <alignment horizontal="left" vertical="top" wrapText="1"/>
    </xf>
    <xf numFmtId="0" fontId="48" fillId="3" borderId="15" xfId="2" applyFont="1" applyFill="1" applyBorder="1" applyAlignment="1" applyProtection="1">
      <alignment horizontal="left" vertical="top" wrapText="1"/>
    </xf>
    <xf numFmtId="0" fontId="53" fillId="3" borderId="73" xfId="0" applyFont="1" applyFill="1" applyBorder="1" applyAlignment="1" applyProtection="1">
      <alignment horizontal="left" vertical="center" wrapText="1"/>
    </xf>
    <xf numFmtId="0" fontId="53" fillId="3" borderId="74" xfId="0" applyFont="1" applyFill="1" applyBorder="1" applyAlignment="1" applyProtection="1">
      <alignment horizontal="left" vertical="center" wrapText="1"/>
    </xf>
    <xf numFmtId="0" fontId="54" fillId="3" borderId="66" xfId="0" applyFont="1" applyFill="1" applyBorder="1" applyAlignment="1" applyProtection="1">
      <alignment horizontal="justify" vertical="center" wrapText="1"/>
    </xf>
    <xf numFmtId="0" fontId="54" fillId="3" borderId="67" xfId="0" applyFont="1" applyFill="1" applyBorder="1" applyAlignment="1" applyProtection="1">
      <alignment horizontal="justify" vertical="center" wrapText="1"/>
    </xf>
    <xf numFmtId="0" fontId="49" fillId="14" borderId="48" xfId="2" applyFont="1" applyFill="1" applyBorder="1" applyAlignment="1" applyProtection="1">
      <alignment horizontal="center" vertical="center" wrapText="1"/>
    </xf>
    <xf numFmtId="0" fontId="49" fillId="14" borderId="49" xfId="2" applyFont="1" applyFill="1" applyBorder="1" applyAlignment="1" applyProtection="1">
      <alignment horizontal="center" vertical="center" wrapText="1"/>
    </xf>
    <xf numFmtId="0" fontId="49" fillId="14" borderId="50" xfId="2" applyFont="1" applyFill="1" applyBorder="1" applyAlignment="1" applyProtection="1">
      <alignment horizontal="center" vertical="center" wrapText="1"/>
    </xf>
    <xf numFmtId="0" fontId="48" fillId="0" borderId="14" xfId="2" quotePrefix="1" applyFont="1" applyBorder="1" applyAlignment="1" applyProtection="1">
      <alignment horizontal="left" vertical="center" wrapText="1"/>
    </xf>
    <xf numFmtId="0" fontId="48" fillId="0" borderId="0" xfId="2" quotePrefix="1" applyFont="1" applyBorder="1" applyAlignment="1" applyProtection="1">
      <alignment horizontal="left" vertical="center" wrapText="1"/>
    </xf>
    <xf numFmtId="0" fontId="48" fillId="0" borderId="15" xfId="2" quotePrefix="1" applyFont="1" applyBorder="1" applyAlignment="1" applyProtection="1">
      <alignment horizontal="left" vertical="center" wrapText="1"/>
    </xf>
    <xf numFmtId="0" fontId="48" fillId="0" borderId="68" xfId="2" quotePrefix="1" applyFont="1" applyBorder="1" applyAlignment="1" applyProtection="1">
      <alignment horizontal="left" vertical="center" wrapText="1"/>
    </xf>
    <xf numFmtId="0" fontId="48" fillId="0" borderId="69" xfId="2" quotePrefix="1" applyFont="1" applyBorder="1" applyAlignment="1" applyProtection="1">
      <alignment horizontal="left" vertical="center" wrapText="1"/>
    </xf>
    <xf numFmtId="0" fontId="48" fillId="0" borderId="70" xfId="2" quotePrefix="1" applyFont="1" applyBorder="1" applyAlignment="1" applyProtection="1">
      <alignment horizontal="left" vertical="center" wrapText="1"/>
    </xf>
    <xf numFmtId="0" fontId="50" fillId="3" borderId="51" xfId="2" quotePrefix="1" applyFont="1" applyFill="1" applyBorder="1" applyAlignment="1" applyProtection="1">
      <alignment horizontal="left" vertical="top" wrapText="1"/>
    </xf>
    <xf numFmtId="0" fontId="51" fillId="3" borderId="52" xfId="2" quotePrefix="1" applyFont="1" applyFill="1" applyBorder="1" applyAlignment="1" applyProtection="1">
      <alignment horizontal="left" vertical="top" wrapText="1"/>
    </xf>
    <xf numFmtId="0" fontId="51" fillId="3" borderId="53" xfId="2" quotePrefix="1" applyFont="1" applyFill="1" applyBorder="1" applyAlignment="1" applyProtection="1">
      <alignment horizontal="left" vertical="top" wrapText="1"/>
    </xf>
    <xf numFmtId="0" fontId="48" fillId="0" borderId="14" xfId="2" quotePrefix="1" applyFont="1" applyBorder="1" applyAlignment="1" applyProtection="1">
      <alignment horizontal="left" vertical="top" wrapText="1"/>
    </xf>
    <xf numFmtId="0" fontId="48" fillId="0" borderId="0" xfId="2" quotePrefix="1" applyFont="1" applyBorder="1" applyAlignment="1" applyProtection="1">
      <alignment horizontal="left" vertical="top" wrapText="1"/>
    </xf>
    <xf numFmtId="0" fontId="48" fillId="0" borderId="15" xfId="2" quotePrefix="1" applyFont="1" applyBorder="1" applyAlignment="1" applyProtection="1">
      <alignment horizontal="left" vertical="top" wrapText="1"/>
    </xf>
    <xf numFmtId="0" fontId="53" fillId="14" borderId="54" xfId="3" applyFont="1" applyFill="1" applyBorder="1" applyAlignment="1" applyProtection="1">
      <alignment horizontal="center" vertical="center" wrapText="1"/>
    </xf>
    <xf numFmtId="0" fontId="53" fillId="14" borderId="55" xfId="3" applyFont="1" applyFill="1" applyBorder="1" applyAlignment="1" applyProtection="1">
      <alignment horizontal="center" vertical="center" wrapText="1"/>
    </xf>
    <xf numFmtId="0" fontId="53" fillId="14" borderId="56" xfId="2" applyFont="1" applyFill="1" applyBorder="1" applyAlignment="1" applyProtection="1">
      <alignment horizontal="center" vertical="center"/>
    </xf>
    <xf numFmtId="0" fontId="53"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4" fillId="0" borderId="4" xfId="0" applyFont="1" applyFill="1" applyBorder="1" applyAlignment="1" applyProtection="1">
      <alignment horizontal="center" vertical="center" wrapText="1"/>
      <protection hidden="1"/>
    </xf>
    <xf numFmtId="0" fontId="4" fillId="0" borderId="8" xfId="0" applyFont="1" applyFill="1" applyBorder="1" applyAlignment="1" applyProtection="1">
      <alignment horizontal="center" vertical="center" wrapText="1"/>
      <protection hidden="1"/>
    </xf>
    <xf numFmtId="0" fontId="4" fillId="0" borderId="5" xfId="0" applyFont="1" applyFill="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8" xfId="0" applyFont="1" applyBorder="1" applyAlignment="1" applyProtection="1">
      <alignment horizontal="center" vertical="center"/>
    </xf>
    <xf numFmtId="0" fontId="1" fillId="0" borderId="4"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4" xfId="0" applyFont="1" applyBorder="1" applyAlignment="1" applyProtection="1">
      <alignment horizontal="center" vertical="center"/>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4" xfId="0" applyFont="1" applyBorder="1" applyAlignment="1" applyProtection="1">
      <alignment horizontal="justify" vertical="center" wrapText="1"/>
    </xf>
    <xf numFmtId="0" fontId="1" fillId="0" borderId="8" xfId="0" applyFont="1" applyBorder="1" applyAlignment="1" applyProtection="1">
      <alignment horizontal="justify" vertical="center" wrapText="1"/>
    </xf>
    <xf numFmtId="0" fontId="1" fillId="0" borderId="4" xfId="0" quotePrefix="1" applyFont="1" applyBorder="1" applyAlignment="1" applyProtection="1">
      <alignment horizontal="center" vertical="center" wrapText="1"/>
      <protection locked="0"/>
    </xf>
    <xf numFmtId="0" fontId="1" fillId="0" borderId="4" xfId="0" applyFont="1" applyBorder="1" applyAlignment="1" applyProtection="1">
      <alignment horizontal="justify" vertical="center"/>
    </xf>
    <xf numFmtId="0" fontId="1" fillId="0" borderId="8" xfId="0" applyFont="1" applyBorder="1" applyAlignment="1" applyProtection="1">
      <alignment horizontal="justify" vertical="center"/>
    </xf>
    <xf numFmtId="0" fontId="2" fillId="3" borderId="4"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1" fillId="0" borderId="5" xfId="0" applyFont="1" applyBorder="1" applyAlignment="1" applyProtection="1">
      <alignment horizontal="justify" vertical="center" wrapText="1"/>
    </xf>
    <xf numFmtId="0" fontId="1" fillId="0" borderId="5" xfId="0" applyFont="1" applyBorder="1" applyAlignment="1" applyProtection="1">
      <alignment horizontal="center" vertical="center"/>
    </xf>
    <xf numFmtId="9" fontId="1" fillId="0" borderId="5" xfId="0" applyNumberFormat="1" applyFont="1" applyBorder="1" applyAlignment="1" applyProtection="1">
      <alignment horizontal="center" vertical="center" wrapText="1"/>
      <protection locked="0"/>
    </xf>
    <xf numFmtId="0" fontId="1" fillId="0" borderId="4" xfId="0" quotePrefix="1"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1" fillId="0" borderId="5"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4" fillId="2" borderId="28" xfId="0" applyFont="1" applyFill="1" applyBorder="1" applyAlignment="1">
      <alignment horizontal="center" vertical="center" wrapText="1"/>
    </xf>
    <xf numFmtId="0" fontId="24" fillId="2" borderId="29"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31" xfId="0" applyFont="1" applyFill="1" applyBorder="1" applyAlignment="1">
      <alignment horizontal="center" vertical="center"/>
    </xf>
    <xf numFmtId="0" fontId="24"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4" fillId="2" borderId="2" xfId="0" applyFont="1" applyFill="1" applyBorder="1" applyAlignment="1">
      <alignment horizontal="center" vertical="center" wrapText="1"/>
    </xf>
    <xf numFmtId="0" fontId="25" fillId="2" borderId="4" xfId="0" applyFont="1" applyFill="1" applyBorder="1" applyAlignment="1">
      <alignment horizontal="center" vertical="center" textRotation="90"/>
    </xf>
    <xf numFmtId="0" fontId="25"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2"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79" xfId="0" applyFont="1" applyFill="1" applyBorder="1" applyAlignment="1" applyProtection="1">
      <alignment horizontal="center" wrapText="1" readingOrder="1"/>
      <protection hidden="1"/>
    </xf>
    <xf numFmtId="0" fontId="20" fillId="13" borderId="78" xfId="0" applyFont="1" applyFill="1" applyBorder="1" applyAlignment="1" applyProtection="1">
      <alignment horizont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78" xfId="0" applyFont="1" applyFill="1" applyBorder="1" applyAlignment="1" applyProtection="1">
      <alignment horizontal="center" vertic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3" borderId="75" xfId="0" applyFont="1" applyFill="1" applyBorder="1" applyAlignment="1" applyProtection="1">
      <alignment horizontal="center" wrapText="1" readingOrder="1"/>
      <protection hidden="1"/>
    </xf>
    <xf numFmtId="0" fontId="20" fillId="13" borderId="76" xfId="0" applyFont="1" applyFill="1" applyBorder="1" applyAlignment="1" applyProtection="1">
      <alignment horizontal="center" wrapText="1" readingOrder="1"/>
      <protection hidden="1"/>
    </xf>
    <xf numFmtId="0" fontId="20" fillId="13" borderId="77" xfId="0" applyFont="1" applyFill="1" applyBorder="1" applyAlignment="1" applyProtection="1">
      <alignment horizontal="center" wrapText="1" readingOrder="1"/>
      <protection hidden="1"/>
    </xf>
    <xf numFmtId="0" fontId="20" fillId="13" borderId="80" xfId="0" applyFont="1" applyFill="1" applyBorder="1" applyAlignment="1" applyProtection="1">
      <alignment horizontal="center" wrapText="1" readingOrder="1"/>
      <protection hidden="1"/>
    </xf>
    <xf numFmtId="0" fontId="20" fillId="13" borderId="81" xfId="0" applyFont="1" applyFill="1" applyBorder="1" applyAlignment="1" applyProtection="1">
      <alignment horizontal="center" wrapText="1" readingOrder="1"/>
      <protection hidden="1"/>
    </xf>
    <xf numFmtId="0" fontId="20" fillId="13" borderId="83" xfId="0" applyFont="1" applyFill="1" applyBorder="1" applyAlignment="1" applyProtection="1">
      <alignment horizontal="center" wrapText="1" readingOrder="1"/>
      <protection hidden="1"/>
    </xf>
    <xf numFmtId="0" fontId="20" fillId="11" borderId="75" xfId="0" applyFont="1" applyFill="1" applyBorder="1" applyAlignment="1" applyProtection="1">
      <alignment horizontal="center" vertical="center" wrapText="1" readingOrder="1"/>
      <protection hidden="1"/>
    </xf>
    <xf numFmtId="0" fontId="20" fillId="11" borderId="76" xfId="0" applyFont="1" applyFill="1" applyBorder="1" applyAlignment="1" applyProtection="1">
      <alignment horizontal="center" vertical="center" wrapText="1" readingOrder="1"/>
      <protection hidden="1"/>
    </xf>
    <xf numFmtId="0" fontId="20" fillId="12" borderId="78" xfId="0" applyFont="1" applyFill="1" applyBorder="1" applyAlignment="1" applyProtection="1">
      <alignment horizontal="center" wrapText="1" readingOrder="1"/>
      <protection hidden="1"/>
    </xf>
    <xf numFmtId="0" fontId="20" fillId="12" borderId="79"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75" xfId="0" applyFont="1" applyFill="1" applyBorder="1" applyAlignment="1" applyProtection="1">
      <alignment horizontal="center" wrapText="1" readingOrder="1"/>
      <protection hidden="1"/>
    </xf>
    <xf numFmtId="0" fontId="20" fillId="12" borderId="76"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1" fillId="12" borderId="20" xfId="0" applyFont="1" applyFill="1" applyBorder="1" applyAlignment="1">
      <alignment horizontal="center" vertical="center" wrapText="1" readingOrder="1"/>
    </xf>
    <xf numFmtId="0" fontId="21" fillId="12" borderId="21" xfId="0" applyFont="1" applyFill="1" applyBorder="1" applyAlignment="1">
      <alignment horizontal="center" vertical="center" wrapText="1" readingOrder="1"/>
    </xf>
    <xf numFmtId="0" fontId="21" fillId="12" borderId="22" xfId="0" applyFont="1" applyFill="1" applyBorder="1" applyAlignment="1">
      <alignment horizontal="center" vertical="center" wrapText="1" readingOrder="1"/>
    </xf>
    <xf numFmtId="0" fontId="21" fillId="12" borderId="23" xfId="0" applyFont="1" applyFill="1" applyBorder="1" applyAlignment="1">
      <alignment horizontal="center" vertical="center" wrapText="1" readingOrder="1"/>
    </xf>
    <xf numFmtId="0" fontId="21" fillId="12" borderId="0" xfId="0" applyFont="1" applyFill="1" applyBorder="1" applyAlignment="1">
      <alignment horizontal="center" vertical="center" wrapText="1" readingOrder="1"/>
    </xf>
    <xf numFmtId="0" fontId="21" fillId="12" borderId="24" xfId="0" applyFont="1" applyFill="1" applyBorder="1" applyAlignment="1">
      <alignment horizontal="center" vertical="center" wrapText="1" readingOrder="1"/>
    </xf>
    <xf numFmtId="0" fontId="21" fillId="12" borderId="25" xfId="0" applyFont="1" applyFill="1" applyBorder="1" applyAlignment="1">
      <alignment horizontal="center" vertical="center" wrapText="1" readingOrder="1"/>
    </xf>
    <xf numFmtId="0" fontId="21" fillId="12" borderId="26" xfId="0" applyFont="1" applyFill="1" applyBorder="1" applyAlignment="1">
      <alignment horizontal="center" vertical="center" wrapText="1" readingOrder="1"/>
    </xf>
    <xf numFmtId="0" fontId="21" fillId="12" borderId="27"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1" borderId="21" xfId="0" applyFont="1" applyFill="1" applyBorder="1" applyAlignment="1">
      <alignment horizontal="center" vertical="center" wrapText="1" readingOrder="1"/>
    </xf>
    <xf numFmtId="0" fontId="21" fillId="11" borderId="22" xfId="0" applyFont="1" applyFill="1" applyBorder="1" applyAlignment="1">
      <alignment horizontal="center" vertical="center" wrapText="1" readingOrder="1"/>
    </xf>
    <xf numFmtId="0" fontId="21" fillId="11" borderId="23" xfId="0" applyFont="1" applyFill="1" applyBorder="1" applyAlignment="1">
      <alignment horizontal="center" vertical="center" wrapText="1" readingOrder="1"/>
    </xf>
    <xf numFmtId="0" fontId="21" fillId="11" borderId="0" xfId="0" applyFont="1" applyFill="1" applyBorder="1" applyAlignment="1">
      <alignment horizontal="center" vertical="center" wrapText="1" readingOrder="1"/>
    </xf>
    <xf numFmtId="0" fontId="21" fillId="11" borderId="24" xfId="0" applyFont="1" applyFill="1" applyBorder="1" applyAlignment="1">
      <alignment horizontal="center" vertical="center" wrapText="1" readingOrder="1"/>
    </xf>
    <xf numFmtId="0" fontId="21" fillId="11" borderId="25" xfId="0" applyFont="1" applyFill="1" applyBorder="1" applyAlignment="1">
      <alignment horizontal="center" vertical="center" wrapText="1" readingOrder="1"/>
    </xf>
    <xf numFmtId="0" fontId="21" fillId="11" borderId="26" xfId="0" applyFont="1" applyFill="1" applyBorder="1" applyAlignment="1">
      <alignment horizontal="center" vertical="center" wrapText="1" readingOrder="1"/>
    </xf>
    <xf numFmtId="0" fontId="21" fillId="11" borderId="27"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13" borderId="21" xfId="0" applyFont="1" applyFill="1" applyBorder="1" applyAlignment="1">
      <alignment horizontal="center" vertical="center" wrapText="1" readingOrder="1"/>
    </xf>
    <xf numFmtId="0" fontId="21" fillId="13" borderId="22" xfId="0" applyFont="1" applyFill="1" applyBorder="1" applyAlignment="1">
      <alignment horizontal="center" vertical="center" wrapText="1" readingOrder="1"/>
    </xf>
    <xf numFmtId="0" fontId="21" fillId="13" borderId="23" xfId="0" applyFont="1" applyFill="1" applyBorder="1" applyAlignment="1">
      <alignment horizontal="center" vertical="center" wrapText="1" readingOrder="1"/>
    </xf>
    <xf numFmtId="0" fontId="21" fillId="13" borderId="0" xfId="0" applyFont="1" applyFill="1" applyBorder="1" applyAlignment="1">
      <alignment horizontal="center" vertical="center" wrapText="1" readingOrder="1"/>
    </xf>
    <xf numFmtId="0" fontId="21" fillId="13" borderId="24" xfId="0" applyFont="1" applyFill="1" applyBorder="1" applyAlignment="1">
      <alignment horizontal="center" vertical="center" wrapText="1" readingOrder="1"/>
    </xf>
    <xf numFmtId="0" fontId="21" fillId="13" borderId="25" xfId="0" applyFont="1" applyFill="1" applyBorder="1" applyAlignment="1">
      <alignment horizontal="center" vertical="center" wrapText="1" readingOrder="1"/>
    </xf>
    <xf numFmtId="0" fontId="21" fillId="13" borderId="26" xfId="0" applyFont="1" applyFill="1" applyBorder="1" applyAlignment="1">
      <alignment horizontal="center" vertical="center" wrapText="1" readingOrder="1"/>
    </xf>
    <xf numFmtId="0" fontId="21" fillId="13" borderId="27"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21" fillId="5" borderId="21" xfId="0" applyFont="1" applyFill="1" applyBorder="1" applyAlignment="1">
      <alignment horizontal="center" vertical="center" wrapText="1" readingOrder="1"/>
    </xf>
    <xf numFmtId="0" fontId="21" fillId="5" borderId="22" xfId="0" applyFont="1" applyFill="1" applyBorder="1" applyAlignment="1">
      <alignment horizontal="center" vertical="center" wrapText="1" readingOrder="1"/>
    </xf>
    <xf numFmtId="0" fontId="21" fillId="5" borderId="23" xfId="0" applyFont="1" applyFill="1" applyBorder="1" applyAlignment="1">
      <alignment horizontal="center" vertical="center" wrapText="1" readingOrder="1"/>
    </xf>
    <xf numFmtId="0" fontId="21" fillId="5" borderId="0" xfId="0" applyFont="1" applyFill="1" applyBorder="1" applyAlignment="1">
      <alignment horizontal="center" vertical="center" wrapText="1" readingOrder="1"/>
    </xf>
    <xf numFmtId="0" fontId="21" fillId="5" borderId="24" xfId="0" applyFont="1" applyFill="1" applyBorder="1" applyAlignment="1">
      <alignment horizontal="center" vertical="center" wrapText="1" readingOrder="1"/>
    </xf>
    <xf numFmtId="0" fontId="21" fillId="5" borderId="25" xfId="0" applyFont="1" applyFill="1" applyBorder="1" applyAlignment="1">
      <alignment horizontal="center" vertical="center" wrapText="1" readingOrder="1"/>
    </xf>
    <xf numFmtId="0" fontId="21" fillId="5" borderId="26" xfId="0" applyFont="1" applyFill="1" applyBorder="1" applyAlignment="1">
      <alignment horizontal="center" vertical="center" wrapText="1" readingOrder="1"/>
    </xf>
    <xf numFmtId="0" fontId="21" fillId="5" borderId="27" xfId="0" applyFont="1" applyFill="1" applyBorder="1" applyAlignment="1">
      <alignment horizontal="center" vertical="center" wrapText="1" readingOrder="1"/>
    </xf>
    <xf numFmtId="0" fontId="17" fillId="0" borderId="12" xfId="0" applyFont="1" applyBorder="1" applyAlignment="1">
      <alignment horizontal="center" vertical="center" wrapText="1"/>
    </xf>
    <xf numFmtId="0" fontId="17" fillId="0" borderId="19"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Alignment="1">
      <alignment horizontal="center" vertical="center"/>
    </xf>
    <xf numFmtId="0" fontId="17" fillId="0" borderId="0" xfId="0" applyFont="1" applyBorder="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17" fillId="0" borderId="13" xfId="0" applyFont="1" applyBorder="1" applyAlignment="1">
      <alignment horizontal="center" vertical="center"/>
    </xf>
    <xf numFmtId="0" fontId="17" fillId="0" borderId="15" xfId="0" applyFont="1" applyBorder="1" applyAlignment="1">
      <alignment horizontal="center" vertical="center"/>
    </xf>
    <xf numFmtId="0" fontId="17" fillId="0" borderId="17" xfId="0" applyFont="1" applyBorder="1" applyAlignment="1">
      <alignment horizontal="center" vertical="center"/>
    </xf>
    <xf numFmtId="0" fontId="17" fillId="0" borderId="14" xfId="0" applyFont="1" applyBorder="1" applyAlignment="1">
      <alignment horizontal="center" vertical="center" wrapText="1"/>
    </xf>
    <xf numFmtId="0" fontId="17" fillId="0" borderId="0" xfId="0" applyFont="1" applyBorder="1" applyAlignment="1">
      <alignment horizontal="center" vertical="center" wrapText="1"/>
    </xf>
    <xf numFmtId="0" fontId="20" fillId="11" borderId="19"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77" xfId="0" applyFont="1" applyFill="1" applyBorder="1" applyAlignment="1" applyProtection="1">
      <alignment horizont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18" fillId="10" borderId="0" xfId="0" applyFont="1" applyFill="1" applyAlignment="1">
      <alignment horizontal="center" vertical="center" wrapText="1" readingOrder="1"/>
    </xf>
    <xf numFmtId="0" fontId="18" fillId="10" borderId="0" xfId="0" applyFont="1" applyFill="1" applyAlignment="1">
      <alignment horizontal="center" vertical="center" textRotation="90" wrapText="1" readingOrder="1"/>
    </xf>
    <xf numFmtId="0" fontId="18" fillId="10" borderId="15" xfId="0" applyFont="1" applyFill="1" applyBorder="1" applyAlignment="1">
      <alignment horizontal="center" vertical="center" textRotation="90" wrapText="1" readingOrder="1"/>
    </xf>
    <xf numFmtId="0" fontId="41" fillId="11" borderId="20" xfId="0" applyFont="1" applyFill="1" applyBorder="1" applyAlignment="1">
      <alignment horizontal="center" vertical="center" wrapText="1" readingOrder="1"/>
    </xf>
    <xf numFmtId="0" fontId="41" fillId="11" borderId="21" xfId="0" applyFont="1" applyFill="1" applyBorder="1" applyAlignment="1">
      <alignment horizontal="center" vertical="center" wrapText="1" readingOrder="1"/>
    </xf>
    <xf numFmtId="0" fontId="41" fillId="11" borderId="22" xfId="0" applyFont="1" applyFill="1" applyBorder="1" applyAlignment="1">
      <alignment horizontal="center" vertical="center" wrapText="1" readingOrder="1"/>
    </xf>
    <xf numFmtId="0" fontId="41" fillId="11" borderId="23" xfId="0" applyFont="1" applyFill="1" applyBorder="1" applyAlignment="1">
      <alignment horizontal="center" vertical="center" wrapText="1" readingOrder="1"/>
    </xf>
    <xf numFmtId="0" fontId="41" fillId="11" borderId="0" xfId="0" applyFont="1" applyFill="1" applyBorder="1" applyAlignment="1">
      <alignment horizontal="center" vertical="center" wrapText="1" readingOrder="1"/>
    </xf>
    <xf numFmtId="0" fontId="41" fillId="11" borderId="24" xfId="0" applyFont="1" applyFill="1" applyBorder="1" applyAlignment="1">
      <alignment horizontal="center" vertical="center" wrapText="1" readingOrder="1"/>
    </xf>
    <xf numFmtId="0" fontId="41" fillId="11" borderId="25" xfId="0" applyFont="1" applyFill="1" applyBorder="1" applyAlignment="1">
      <alignment horizontal="center" vertical="center" wrapText="1" readingOrder="1"/>
    </xf>
    <xf numFmtId="0" fontId="41" fillId="11" borderId="26" xfId="0" applyFont="1" applyFill="1" applyBorder="1" applyAlignment="1">
      <alignment horizontal="center" vertical="center" wrapText="1" readingOrder="1"/>
    </xf>
    <xf numFmtId="0" fontId="41" fillId="11" borderId="27"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42" fillId="0" borderId="19" xfId="0" applyFont="1" applyBorder="1" applyAlignment="1">
      <alignment horizontal="center" vertical="center"/>
    </xf>
    <xf numFmtId="0" fontId="42" fillId="0" borderId="14" xfId="0" applyFont="1" applyBorder="1" applyAlignment="1">
      <alignment horizontal="center" vertical="center" wrapText="1"/>
    </xf>
    <xf numFmtId="0" fontId="42" fillId="0" borderId="0" xfId="0" applyFont="1" applyBorder="1" applyAlignment="1">
      <alignment horizontal="center" vertical="center"/>
    </xf>
    <xf numFmtId="0" fontId="42" fillId="0" borderId="14" xfId="0" applyFont="1" applyBorder="1" applyAlignment="1">
      <alignment horizontal="center" vertical="center"/>
    </xf>
    <xf numFmtId="0" fontId="42" fillId="0" borderId="0" xfId="0" applyFont="1" applyAlignment="1">
      <alignment horizontal="center" vertical="center"/>
    </xf>
    <xf numFmtId="0" fontId="42" fillId="0" borderId="16" xfId="0" applyFont="1" applyBorder="1" applyAlignment="1">
      <alignment horizontal="center" vertical="center"/>
    </xf>
    <xf numFmtId="0" fontId="42" fillId="0" borderId="18" xfId="0" applyFont="1" applyBorder="1" applyAlignment="1">
      <alignment horizontal="center" vertical="center"/>
    </xf>
    <xf numFmtId="0" fontId="41" fillId="12" borderId="20" xfId="0" applyFont="1" applyFill="1" applyBorder="1" applyAlignment="1">
      <alignment horizontal="center" vertical="center" wrapText="1" readingOrder="1"/>
    </xf>
    <xf numFmtId="0" fontId="41" fillId="12" borderId="21" xfId="0" applyFont="1" applyFill="1" applyBorder="1" applyAlignment="1">
      <alignment horizontal="center" vertical="center" wrapText="1" readingOrder="1"/>
    </xf>
    <xf numFmtId="0" fontId="41" fillId="12" borderId="22" xfId="0" applyFont="1" applyFill="1" applyBorder="1" applyAlignment="1">
      <alignment horizontal="center" vertical="center" wrapText="1" readingOrder="1"/>
    </xf>
    <xf numFmtId="0" fontId="41" fillId="12" borderId="23" xfId="0" applyFont="1" applyFill="1" applyBorder="1" applyAlignment="1">
      <alignment horizontal="center" vertical="center" wrapText="1" readingOrder="1"/>
    </xf>
    <xf numFmtId="0" fontId="41" fillId="12" borderId="0" xfId="0" applyFont="1" applyFill="1" applyBorder="1" applyAlignment="1">
      <alignment horizontal="center" vertical="center" wrapText="1" readingOrder="1"/>
    </xf>
    <xf numFmtId="0" fontId="41" fillId="12" borderId="24" xfId="0" applyFont="1" applyFill="1" applyBorder="1" applyAlignment="1">
      <alignment horizontal="center" vertical="center" wrapText="1" readingOrder="1"/>
    </xf>
    <xf numFmtId="0" fontId="41" fillId="12" borderId="25" xfId="0" applyFont="1" applyFill="1" applyBorder="1" applyAlignment="1">
      <alignment horizontal="center" vertical="center" wrapText="1" readingOrder="1"/>
    </xf>
    <xf numFmtId="0" fontId="41" fillId="12" borderId="26" xfId="0" applyFont="1" applyFill="1" applyBorder="1" applyAlignment="1">
      <alignment horizontal="center" vertical="center" wrapText="1" readingOrder="1"/>
    </xf>
    <xf numFmtId="0" fontId="41" fillId="12" borderId="27"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41" fillId="5" borderId="20" xfId="0" applyFont="1" applyFill="1" applyBorder="1" applyAlignment="1">
      <alignment horizontal="center" vertical="center" wrapText="1" readingOrder="1"/>
    </xf>
    <xf numFmtId="0" fontId="41" fillId="5" borderId="21" xfId="0" applyFont="1" applyFill="1" applyBorder="1" applyAlignment="1">
      <alignment horizontal="center" vertical="center" wrapText="1" readingOrder="1"/>
    </xf>
    <xf numFmtId="0" fontId="41" fillId="5" borderId="22" xfId="0" applyFont="1" applyFill="1" applyBorder="1" applyAlignment="1">
      <alignment horizontal="center" vertical="center" wrapText="1" readingOrder="1"/>
    </xf>
    <xf numFmtId="0" fontId="41" fillId="5" borderId="23" xfId="0" applyFont="1" applyFill="1" applyBorder="1" applyAlignment="1">
      <alignment horizontal="center" vertical="center" wrapText="1" readingOrder="1"/>
    </xf>
    <xf numFmtId="0" fontId="41" fillId="5" borderId="0" xfId="0" applyFont="1" applyFill="1" applyBorder="1" applyAlignment="1">
      <alignment horizontal="center" vertical="center" wrapText="1" readingOrder="1"/>
    </xf>
    <xf numFmtId="0" fontId="41" fillId="5" borderId="24" xfId="0" applyFont="1" applyFill="1" applyBorder="1" applyAlignment="1">
      <alignment horizontal="center" vertical="center" wrapText="1" readingOrder="1"/>
    </xf>
    <xf numFmtId="0" fontId="41" fillId="5" borderId="25" xfId="0" applyFont="1" applyFill="1" applyBorder="1" applyAlignment="1">
      <alignment horizontal="center" vertical="center" wrapText="1" readingOrder="1"/>
    </xf>
    <xf numFmtId="0" fontId="41" fillId="5" borderId="26" xfId="0" applyFont="1" applyFill="1" applyBorder="1" applyAlignment="1">
      <alignment horizontal="center" vertical="center" wrapText="1" readingOrder="1"/>
    </xf>
    <xf numFmtId="0" fontId="41" fillId="5" borderId="27"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1" fillId="13" borderId="21" xfId="0" applyFont="1" applyFill="1" applyBorder="1" applyAlignment="1">
      <alignment horizontal="center" vertical="center" wrapText="1" readingOrder="1"/>
    </xf>
    <xf numFmtId="0" fontId="41" fillId="13" borderId="22" xfId="0" applyFont="1" applyFill="1" applyBorder="1" applyAlignment="1">
      <alignment horizontal="center" vertical="center" wrapText="1" readingOrder="1"/>
    </xf>
    <xf numFmtId="0" fontId="41" fillId="13" borderId="23" xfId="0" applyFont="1" applyFill="1" applyBorder="1" applyAlignment="1">
      <alignment horizontal="center" vertical="center" wrapText="1" readingOrder="1"/>
    </xf>
    <xf numFmtId="0" fontId="41" fillId="13" borderId="0" xfId="0" applyFont="1" applyFill="1" applyBorder="1" applyAlignment="1">
      <alignment horizontal="center" vertical="center" wrapText="1" readingOrder="1"/>
    </xf>
    <xf numFmtId="0" fontId="41" fillId="13" borderId="24" xfId="0" applyFont="1" applyFill="1" applyBorder="1" applyAlignment="1">
      <alignment horizontal="center" vertical="center" wrapText="1" readingOrder="1"/>
    </xf>
    <xf numFmtId="0" fontId="41" fillId="13" borderId="25" xfId="0" applyFont="1" applyFill="1" applyBorder="1" applyAlignment="1">
      <alignment horizontal="center" vertical="center" wrapText="1" readingOrder="1"/>
    </xf>
    <xf numFmtId="0" fontId="41" fillId="13" borderId="26" xfId="0" applyFont="1" applyFill="1" applyBorder="1" applyAlignment="1">
      <alignment horizontal="center" vertical="center" wrapText="1" readingOrder="1"/>
    </xf>
    <xf numFmtId="0" fontId="41" fillId="13" borderId="27" xfId="0" applyFont="1" applyFill="1" applyBorder="1" applyAlignment="1">
      <alignment horizontal="center" vertical="center" wrapText="1" readingOrder="1"/>
    </xf>
    <xf numFmtId="0" fontId="42" fillId="0" borderId="78" xfId="0" applyFont="1" applyBorder="1" applyAlignment="1">
      <alignment horizontal="center" vertical="center" wrapText="1"/>
    </xf>
    <xf numFmtId="0" fontId="42" fillId="0" borderId="78" xfId="0" applyFont="1" applyBorder="1" applyAlignment="1">
      <alignment horizontal="center" vertical="center"/>
    </xf>
    <xf numFmtId="0" fontId="42" fillId="0" borderId="80" xfId="0" applyFont="1" applyBorder="1" applyAlignment="1">
      <alignment horizontal="center" vertical="center"/>
    </xf>
    <xf numFmtId="0" fontId="42" fillId="0" borderId="81" xfId="0" applyFont="1" applyBorder="1" applyAlignment="1">
      <alignment horizontal="center" vertical="center"/>
    </xf>
    <xf numFmtId="0" fontId="42" fillId="0" borderId="82" xfId="0" applyFont="1" applyBorder="1" applyAlignment="1">
      <alignment horizontal="center" vertical="center"/>
    </xf>
    <xf numFmtId="0" fontId="42" fillId="0" borderId="0" xfId="0" applyFont="1" applyBorder="1" applyAlignment="1">
      <alignment horizontal="center" vertical="center" wrapText="1"/>
    </xf>
    <xf numFmtId="0" fontId="42" fillId="0" borderId="79" xfId="0" applyFont="1" applyBorder="1" applyAlignment="1">
      <alignment horizontal="center" vertical="center"/>
    </xf>
    <xf numFmtId="0" fontId="42" fillId="0" borderId="83" xfId="0" applyFont="1" applyBorder="1" applyAlignment="1">
      <alignment horizontal="center" vertical="center"/>
    </xf>
    <xf numFmtId="0" fontId="23" fillId="0" borderId="0" xfId="0" applyFont="1" applyAlignment="1">
      <alignment horizontal="center" vertical="center"/>
    </xf>
    <xf numFmtId="0" fontId="44" fillId="0" borderId="0" xfId="0" applyFont="1" applyAlignment="1">
      <alignment horizontal="center" vertical="center"/>
    </xf>
    <xf numFmtId="0" fontId="39" fillId="15" borderId="35" xfId="0" applyFont="1" applyFill="1" applyBorder="1" applyAlignment="1">
      <alignment horizontal="center" vertical="center" wrapText="1" readingOrder="1"/>
    </xf>
    <xf numFmtId="0" fontId="39" fillId="15" borderId="36" xfId="0" applyFont="1" applyFill="1" applyBorder="1" applyAlignment="1">
      <alignment horizontal="center" vertical="center" wrapText="1" readingOrder="1"/>
    </xf>
    <xf numFmtId="0" fontId="39" fillId="15" borderId="47" xfId="0" applyFont="1" applyFill="1" applyBorder="1" applyAlignment="1">
      <alignment horizontal="center" vertical="center" wrapText="1" readingOrder="1"/>
    </xf>
    <xf numFmtId="0" fontId="34" fillId="3" borderId="0" xfId="0" applyFont="1" applyFill="1" applyBorder="1" applyAlignment="1">
      <alignment horizontal="justify" vertical="center" wrapText="1"/>
    </xf>
    <xf numFmtId="0" fontId="36" fillId="15" borderId="44" xfId="0" applyFont="1" applyFill="1" applyBorder="1" applyAlignment="1">
      <alignment horizontal="center" vertical="center" wrapText="1" readingOrder="1"/>
    </xf>
    <xf numFmtId="0" fontId="36" fillId="15" borderId="45" xfId="0" applyFont="1" applyFill="1" applyBorder="1" applyAlignment="1">
      <alignment horizontal="center" vertical="center" wrapText="1" readingOrder="1"/>
    </xf>
    <xf numFmtId="0" fontId="36" fillId="3" borderId="42" xfId="0" applyFont="1" applyFill="1" applyBorder="1" applyAlignment="1">
      <alignment horizontal="center" vertical="center" wrapText="1" readingOrder="1"/>
    </xf>
    <xf numFmtId="0" fontId="36" fillId="3" borderId="37" xfId="0" applyFont="1" applyFill="1" applyBorder="1" applyAlignment="1">
      <alignment horizontal="center" vertical="center" wrapText="1" readingOrder="1"/>
    </xf>
    <xf numFmtId="0" fontId="36" fillId="3" borderId="34" xfId="0"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6" fillId="3" borderId="39"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583">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Mapa%20de%20riesgos%20institucional%20-%20Consolidado%2012.1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P.DESKTOP-EGJVJ8T\Documents\EPQ%20130521\Documentos\EPQ\ERU\Mapas%20de%20riesgo\2021\Revision\MR%20Ejec%20Proy%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Impacto"/>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2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1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zoomScale="110" zoomScaleNormal="110" workbookViewId="0">
      <selection activeCell="C12" sqref="C12:F37"/>
    </sheetView>
  </sheetViews>
  <sheetFormatPr baseColWidth="10" defaultRowHeight="15" x14ac:dyDescent="0.25"/>
  <cols>
    <col min="1" max="1" width="2.85546875" style="58" customWidth="1"/>
    <col min="2" max="3" width="24.7109375" style="58" customWidth="1"/>
    <col min="4" max="4" width="16" style="58" customWidth="1"/>
    <col min="5" max="5" width="24.7109375" style="58" customWidth="1"/>
    <col min="6" max="6" width="27.7109375" style="58" customWidth="1"/>
    <col min="7" max="8" width="24.7109375" style="58" customWidth="1"/>
    <col min="9" max="16384" width="11.42578125" style="58"/>
  </cols>
  <sheetData>
    <row r="1" spans="2:8" ht="15.75" thickBot="1" x14ac:dyDescent="0.3"/>
    <row r="2" spans="2:8" ht="18" x14ac:dyDescent="0.25">
      <c r="B2" s="179" t="s">
        <v>157</v>
      </c>
      <c r="C2" s="180"/>
      <c r="D2" s="180"/>
      <c r="E2" s="180"/>
      <c r="F2" s="180"/>
      <c r="G2" s="180"/>
      <c r="H2" s="181"/>
    </row>
    <row r="3" spans="2:8" x14ac:dyDescent="0.25">
      <c r="B3" s="59"/>
      <c r="C3" s="60"/>
      <c r="D3" s="60"/>
      <c r="E3" s="60"/>
      <c r="F3" s="60"/>
      <c r="G3" s="60"/>
      <c r="H3" s="61"/>
    </row>
    <row r="4" spans="2:8" ht="63" customHeight="1" x14ac:dyDescent="0.25">
      <c r="B4" s="182" t="s">
        <v>200</v>
      </c>
      <c r="C4" s="183"/>
      <c r="D4" s="183"/>
      <c r="E4" s="183"/>
      <c r="F4" s="183"/>
      <c r="G4" s="183"/>
      <c r="H4" s="184"/>
    </row>
    <row r="5" spans="2:8" ht="63" customHeight="1" x14ac:dyDescent="0.25">
      <c r="B5" s="185"/>
      <c r="C5" s="186"/>
      <c r="D5" s="186"/>
      <c r="E5" s="186"/>
      <c r="F5" s="186"/>
      <c r="G5" s="186"/>
      <c r="H5" s="187"/>
    </row>
    <row r="6" spans="2:8" ht="16.5" x14ac:dyDescent="0.25">
      <c r="B6" s="188" t="s">
        <v>155</v>
      </c>
      <c r="C6" s="189"/>
      <c r="D6" s="189"/>
      <c r="E6" s="189"/>
      <c r="F6" s="189"/>
      <c r="G6" s="189"/>
      <c r="H6" s="190"/>
    </row>
    <row r="7" spans="2:8" ht="95.25" customHeight="1" x14ac:dyDescent="0.25">
      <c r="B7" s="198" t="s">
        <v>160</v>
      </c>
      <c r="C7" s="199"/>
      <c r="D7" s="199"/>
      <c r="E7" s="199"/>
      <c r="F7" s="199"/>
      <c r="G7" s="199"/>
      <c r="H7" s="200"/>
    </row>
    <row r="8" spans="2:8" ht="16.5" x14ac:dyDescent="0.25">
      <c r="B8" s="96"/>
      <c r="C8" s="97"/>
      <c r="D8" s="97"/>
      <c r="E8" s="97"/>
      <c r="F8" s="97"/>
      <c r="G8" s="97"/>
      <c r="H8" s="98"/>
    </row>
    <row r="9" spans="2:8" ht="16.5" customHeight="1" x14ac:dyDescent="0.25">
      <c r="B9" s="191" t="s">
        <v>193</v>
      </c>
      <c r="C9" s="192"/>
      <c r="D9" s="192"/>
      <c r="E9" s="192"/>
      <c r="F9" s="192"/>
      <c r="G9" s="192"/>
      <c r="H9" s="193"/>
    </row>
    <row r="10" spans="2:8" ht="44.25" customHeight="1" x14ac:dyDescent="0.25">
      <c r="B10" s="191"/>
      <c r="C10" s="192"/>
      <c r="D10" s="192"/>
      <c r="E10" s="192"/>
      <c r="F10" s="192"/>
      <c r="G10" s="192"/>
      <c r="H10" s="193"/>
    </row>
    <row r="11" spans="2:8" ht="15.75" thickBot="1" x14ac:dyDescent="0.3">
      <c r="B11" s="84"/>
      <c r="C11" s="87"/>
      <c r="D11" s="92"/>
      <c r="E11" s="93"/>
      <c r="F11" s="93"/>
      <c r="G11" s="94"/>
      <c r="H11" s="95"/>
    </row>
    <row r="12" spans="2:8" ht="15.75" thickTop="1" x14ac:dyDescent="0.25">
      <c r="B12" s="84"/>
      <c r="C12" s="194" t="s">
        <v>156</v>
      </c>
      <c r="D12" s="195"/>
      <c r="E12" s="196" t="s">
        <v>194</v>
      </c>
      <c r="F12" s="197"/>
      <c r="G12" s="87"/>
      <c r="H12" s="88"/>
    </row>
    <row r="13" spans="2:8" ht="35.25" customHeight="1" x14ac:dyDescent="0.25">
      <c r="B13" s="84"/>
      <c r="C13" s="166" t="s">
        <v>187</v>
      </c>
      <c r="D13" s="167"/>
      <c r="E13" s="168" t="s">
        <v>192</v>
      </c>
      <c r="F13" s="169"/>
      <c r="G13" s="87"/>
      <c r="H13" s="88"/>
    </row>
    <row r="14" spans="2:8" ht="17.25" customHeight="1" x14ac:dyDescent="0.25">
      <c r="B14" s="84"/>
      <c r="C14" s="166" t="s">
        <v>188</v>
      </c>
      <c r="D14" s="167"/>
      <c r="E14" s="168" t="s">
        <v>190</v>
      </c>
      <c r="F14" s="169"/>
      <c r="G14" s="87"/>
      <c r="H14" s="88"/>
    </row>
    <row r="15" spans="2:8" ht="19.5" customHeight="1" x14ac:dyDescent="0.25">
      <c r="B15" s="84"/>
      <c r="C15" s="166" t="s">
        <v>189</v>
      </c>
      <c r="D15" s="167"/>
      <c r="E15" s="168" t="s">
        <v>191</v>
      </c>
      <c r="F15" s="169"/>
      <c r="G15" s="87"/>
      <c r="H15" s="88"/>
    </row>
    <row r="16" spans="2:8" ht="69.75" customHeight="1" x14ac:dyDescent="0.25">
      <c r="B16" s="84"/>
      <c r="C16" s="166" t="s">
        <v>158</v>
      </c>
      <c r="D16" s="167"/>
      <c r="E16" s="168" t="s">
        <v>159</v>
      </c>
      <c r="F16" s="169"/>
      <c r="G16" s="87"/>
      <c r="H16" s="88"/>
    </row>
    <row r="17" spans="2:8" ht="34.5" customHeight="1" x14ac:dyDescent="0.25">
      <c r="B17" s="84"/>
      <c r="C17" s="170" t="s">
        <v>2</v>
      </c>
      <c r="D17" s="171"/>
      <c r="E17" s="162" t="s">
        <v>201</v>
      </c>
      <c r="F17" s="163"/>
      <c r="G17" s="87"/>
      <c r="H17" s="88"/>
    </row>
    <row r="18" spans="2:8" ht="27.75" customHeight="1" x14ac:dyDescent="0.25">
      <c r="B18" s="84"/>
      <c r="C18" s="170" t="s">
        <v>3</v>
      </c>
      <c r="D18" s="171"/>
      <c r="E18" s="162" t="s">
        <v>202</v>
      </c>
      <c r="F18" s="163"/>
      <c r="G18" s="87"/>
      <c r="H18" s="88"/>
    </row>
    <row r="19" spans="2:8" ht="28.5" customHeight="1" x14ac:dyDescent="0.25">
      <c r="B19" s="84"/>
      <c r="C19" s="170" t="s">
        <v>38</v>
      </c>
      <c r="D19" s="171"/>
      <c r="E19" s="162" t="s">
        <v>203</v>
      </c>
      <c r="F19" s="163"/>
      <c r="G19" s="87"/>
      <c r="H19" s="88"/>
    </row>
    <row r="20" spans="2:8" ht="72.75" customHeight="1" x14ac:dyDescent="0.25">
      <c r="B20" s="84"/>
      <c r="C20" s="170" t="s">
        <v>1</v>
      </c>
      <c r="D20" s="171"/>
      <c r="E20" s="162" t="s">
        <v>204</v>
      </c>
      <c r="F20" s="163"/>
      <c r="G20" s="87"/>
      <c r="H20" s="88"/>
    </row>
    <row r="21" spans="2:8" ht="64.5" customHeight="1" x14ac:dyDescent="0.25">
      <c r="B21" s="84"/>
      <c r="C21" s="170" t="s">
        <v>44</v>
      </c>
      <c r="D21" s="171"/>
      <c r="E21" s="162" t="s">
        <v>162</v>
      </c>
      <c r="F21" s="163"/>
      <c r="G21" s="87"/>
      <c r="H21" s="88"/>
    </row>
    <row r="22" spans="2:8" ht="71.25" customHeight="1" x14ac:dyDescent="0.25">
      <c r="B22" s="84"/>
      <c r="C22" s="170" t="s">
        <v>161</v>
      </c>
      <c r="D22" s="171"/>
      <c r="E22" s="162" t="s">
        <v>163</v>
      </c>
      <c r="F22" s="163"/>
      <c r="G22" s="87"/>
      <c r="H22" s="88"/>
    </row>
    <row r="23" spans="2:8" ht="55.5" customHeight="1" x14ac:dyDescent="0.25">
      <c r="B23" s="84"/>
      <c r="C23" s="164" t="s">
        <v>164</v>
      </c>
      <c r="D23" s="165"/>
      <c r="E23" s="162" t="s">
        <v>165</v>
      </c>
      <c r="F23" s="163"/>
      <c r="G23" s="87"/>
      <c r="H23" s="88"/>
    </row>
    <row r="24" spans="2:8" ht="42" customHeight="1" x14ac:dyDescent="0.25">
      <c r="B24" s="84"/>
      <c r="C24" s="164" t="s">
        <v>42</v>
      </c>
      <c r="D24" s="165"/>
      <c r="E24" s="162" t="s">
        <v>166</v>
      </c>
      <c r="F24" s="163"/>
      <c r="G24" s="87"/>
      <c r="H24" s="88"/>
    </row>
    <row r="25" spans="2:8" ht="59.25" customHeight="1" x14ac:dyDescent="0.25">
      <c r="B25" s="84"/>
      <c r="C25" s="164" t="s">
        <v>154</v>
      </c>
      <c r="D25" s="165"/>
      <c r="E25" s="162" t="s">
        <v>167</v>
      </c>
      <c r="F25" s="163"/>
      <c r="G25" s="87"/>
      <c r="H25" s="88"/>
    </row>
    <row r="26" spans="2:8" ht="23.25" customHeight="1" x14ac:dyDescent="0.25">
      <c r="B26" s="84"/>
      <c r="C26" s="164" t="s">
        <v>12</v>
      </c>
      <c r="D26" s="165"/>
      <c r="E26" s="162" t="s">
        <v>168</v>
      </c>
      <c r="F26" s="163"/>
      <c r="G26" s="87"/>
      <c r="H26" s="88"/>
    </row>
    <row r="27" spans="2:8" ht="30.75" customHeight="1" x14ac:dyDescent="0.25">
      <c r="B27" s="84"/>
      <c r="C27" s="164" t="s">
        <v>172</v>
      </c>
      <c r="D27" s="165"/>
      <c r="E27" s="162" t="s">
        <v>169</v>
      </c>
      <c r="F27" s="163"/>
      <c r="G27" s="87"/>
      <c r="H27" s="88"/>
    </row>
    <row r="28" spans="2:8" ht="35.25" customHeight="1" x14ac:dyDescent="0.25">
      <c r="B28" s="84"/>
      <c r="C28" s="164" t="s">
        <v>173</v>
      </c>
      <c r="D28" s="165"/>
      <c r="E28" s="162" t="s">
        <v>170</v>
      </c>
      <c r="F28" s="163"/>
      <c r="G28" s="87"/>
      <c r="H28" s="88"/>
    </row>
    <row r="29" spans="2:8" ht="33" customHeight="1" x14ac:dyDescent="0.25">
      <c r="B29" s="84"/>
      <c r="C29" s="164" t="s">
        <v>173</v>
      </c>
      <c r="D29" s="165"/>
      <c r="E29" s="162" t="s">
        <v>170</v>
      </c>
      <c r="F29" s="163"/>
      <c r="G29" s="87"/>
      <c r="H29" s="88"/>
    </row>
    <row r="30" spans="2:8" ht="30" customHeight="1" x14ac:dyDescent="0.25">
      <c r="B30" s="84"/>
      <c r="C30" s="164" t="s">
        <v>174</v>
      </c>
      <c r="D30" s="165"/>
      <c r="E30" s="162" t="s">
        <v>171</v>
      </c>
      <c r="F30" s="163"/>
      <c r="G30" s="87"/>
      <c r="H30" s="88"/>
    </row>
    <row r="31" spans="2:8" ht="35.25" customHeight="1" x14ac:dyDescent="0.25">
      <c r="B31" s="84"/>
      <c r="C31" s="164" t="s">
        <v>175</v>
      </c>
      <c r="D31" s="165"/>
      <c r="E31" s="162" t="s">
        <v>176</v>
      </c>
      <c r="F31" s="163"/>
      <c r="G31" s="87"/>
      <c r="H31" s="88"/>
    </row>
    <row r="32" spans="2:8" ht="31.5" customHeight="1" x14ac:dyDescent="0.25">
      <c r="B32" s="84"/>
      <c r="C32" s="164" t="s">
        <v>177</v>
      </c>
      <c r="D32" s="165"/>
      <c r="E32" s="162" t="s">
        <v>178</v>
      </c>
      <c r="F32" s="163"/>
      <c r="G32" s="87"/>
      <c r="H32" s="88"/>
    </row>
    <row r="33" spans="2:8" ht="35.25" customHeight="1" x14ac:dyDescent="0.25">
      <c r="B33" s="84"/>
      <c r="C33" s="164" t="s">
        <v>179</v>
      </c>
      <c r="D33" s="165"/>
      <c r="E33" s="162" t="s">
        <v>180</v>
      </c>
      <c r="F33" s="163"/>
      <c r="G33" s="87"/>
      <c r="H33" s="88"/>
    </row>
    <row r="34" spans="2:8" ht="59.25" customHeight="1" x14ac:dyDescent="0.25">
      <c r="B34" s="84"/>
      <c r="C34" s="164" t="s">
        <v>181</v>
      </c>
      <c r="D34" s="165"/>
      <c r="E34" s="162" t="s">
        <v>182</v>
      </c>
      <c r="F34" s="163"/>
      <c r="G34" s="87"/>
      <c r="H34" s="88"/>
    </row>
    <row r="35" spans="2:8" ht="29.25" customHeight="1" x14ac:dyDescent="0.25">
      <c r="B35" s="84"/>
      <c r="C35" s="164" t="s">
        <v>29</v>
      </c>
      <c r="D35" s="165"/>
      <c r="E35" s="162" t="s">
        <v>183</v>
      </c>
      <c r="F35" s="163"/>
      <c r="G35" s="87"/>
      <c r="H35" s="88"/>
    </row>
    <row r="36" spans="2:8" ht="82.5" customHeight="1" x14ac:dyDescent="0.25">
      <c r="B36" s="84"/>
      <c r="C36" s="164" t="s">
        <v>185</v>
      </c>
      <c r="D36" s="165"/>
      <c r="E36" s="162" t="s">
        <v>184</v>
      </c>
      <c r="F36" s="163"/>
      <c r="G36" s="87"/>
      <c r="H36" s="88"/>
    </row>
    <row r="37" spans="2:8" ht="46.5" customHeight="1" x14ac:dyDescent="0.25">
      <c r="B37" s="84"/>
      <c r="C37" s="164" t="s">
        <v>35</v>
      </c>
      <c r="D37" s="165"/>
      <c r="E37" s="162" t="s">
        <v>186</v>
      </c>
      <c r="F37" s="163"/>
      <c r="G37" s="87"/>
      <c r="H37" s="88"/>
    </row>
    <row r="38" spans="2:8" ht="6.75" customHeight="1" thickBot="1" x14ac:dyDescent="0.3">
      <c r="B38" s="84"/>
      <c r="C38" s="175"/>
      <c r="D38" s="176"/>
      <c r="E38" s="177"/>
      <c r="F38" s="178"/>
      <c r="G38" s="87"/>
      <c r="H38" s="88"/>
    </row>
    <row r="39" spans="2:8" ht="15.75" thickTop="1" x14ac:dyDescent="0.25">
      <c r="B39" s="84"/>
      <c r="C39" s="85"/>
      <c r="D39" s="85"/>
      <c r="E39" s="86"/>
      <c r="F39" s="86"/>
      <c r="G39" s="87"/>
      <c r="H39" s="88"/>
    </row>
    <row r="40" spans="2:8" ht="21" customHeight="1" x14ac:dyDescent="0.25">
      <c r="B40" s="172" t="s">
        <v>195</v>
      </c>
      <c r="C40" s="173"/>
      <c r="D40" s="173"/>
      <c r="E40" s="173"/>
      <c r="F40" s="173"/>
      <c r="G40" s="173"/>
      <c r="H40" s="174"/>
    </row>
    <row r="41" spans="2:8" ht="20.25" customHeight="1" x14ac:dyDescent="0.25">
      <c r="B41" s="172" t="s">
        <v>196</v>
      </c>
      <c r="C41" s="173"/>
      <c r="D41" s="173"/>
      <c r="E41" s="173"/>
      <c r="F41" s="173"/>
      <c r="G41" s="173"/>
      <c r="H41" s="174"/>
    </row>
    <row r="42" spans="2:8" ht="20.25" customHeight="1" x14ac:dyDescent="0.25">
      <c r="B42" s="172" t="s">
        <v>197</v>
      </c>
      <c r="C42" s="173"/>
      <c r="D42" s="173"/>
      <c r="E42" s="173"/>
      <c r="F42" s="173"/>
      <c r="G42" s="173"/>
      <c r="H42" s="174"/>
    </row>
    <row r="43" spans="2:8" ht="20.25" customHeight="1" x14ac:dyDescent="0.25">
      <c r="B43" s="172" t="s">
        <v>198</v>
      </c>
      <c r="C43" s="173"/>
      <c r="D43" s="173"/>
      <c r="E43" s="173"/>
      <c r="F43" s="173"/>
      <c r="G43" s="173"/>
      <c r="H43" s="174"/>
    </row>
    <row r="44" spans="2:8" x14ac:dyDescent="0.25">
      <c r="B44" s="172" t="s">
        <v>199</v>
      </c>
      <c r="C44" s="173"/>
      <c r="D44" s="173"/>
      <c r="E44" s="173"/>
      <c r="F44" s="173"/>
      <c r="G44" s="173"/>
      <c r="H44" s="174"/>
    </row>
    <row r="45" spans="2:8" ht="15.75" thickBot="1" x14ac:dyDescent="0.3">
      <c r="B45" s="89"/>
      <c r="C45" s="90"/>
      <c r="D45" s="90"/>
      <c r="E45" s="90"/>
      <c r="F45" s="90"/>
      <c r="G45" s="90"/>
      <c r="H45" s="91"/>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S156"/>
  <sheetViews>
    <sheetView tabSelected="1" topLeftCell="A5" zoomScale="60" zoomScaleNormal="60" workbookViewId="0">
      <pane ySplit="2" topLeftCell="A127" activePane="bottomLeft" state="frozen"/>
      <selection activeCell="A5" sqref="A5"/>
      <selection pane="bottomLeft" activeCell="B127" sqref="B127:B129"/>
    </sheetView>
  </sheetViews>
  <sheetFormatPr baseColWidth="10" defaultRowHeight="16.5" x14ac:dyDescent="0.25"/>
  <cols>
    <col min="1" max="1" width="4" style="1" bestFit="1" customWidth="1"/>
    <col min="2" max="2" width="21.7109375" style="1" customWidth="1"/>
    <col min="3" max="3" width="25.5703125" style="1" customWidth="1"/>
    <col min="4" max="4" width="20.5703125" style="1" customWidth="1"/>
    <col min="5" max="5" width="15.5703125" style="1" customWidth="1"/>
    <col min="6" max="6" width="24.42578125" style="1" customWidth="1"/>
    <col min="7" max="7" width="21.85546875" style="1" customWidth="1"/>
    <col min="8" max="8" width="32.42578125" style="2" customWidth="1"/>
    <col min="9" max="9" width="19" style="1" customWidth="1"/>
    <col min="10" max="10" width="17.85546875" style="1" customWidth="1"/>
    <col min="11" max="11" width="16.5703125" style="1" customWidth="1"/>
    <col min="12" max="12" width="6.28515625" style="1" bestFit="1" customWidth="1"/>
    <col min="13" max="13" width="33" style="1" customWidth="1"/>
    <col min="14" max="14" width="42" style="1" customWidth="1"/>
    <col min="15" max="15" width="13.28515625" style="1" bestFit="1" customWidth="1"/>
    <col min="16" max="16" width="6.28515625" style="1" bestFit="1" customWidth="1"/>
    <col min="17" max="17" width="16" style="1" customWidth="1"/>
    <col min="18" max="18" width="5.85546875" style="1" customWidth="1"/>
    <col min="19" max="19" width="45.140625" style="2" customWidth="1"/>
    <col min="20" max="20" width="15.140625" style="1" bestFit="1" customWidth="1"/>
    <col min="21" max="21" width="6.85546875" style="1" customWidth="1"/>
    <col min="22" max="22" width="5" style="1" customWidth="1"/>
    <col min="23" max="23" width="5.5703125" style="1" customWidth="1"/>
    <col min="24" max="24" width="7.140625" style="1" customWidth="1"/>
    <col min="25" max="25" width="6.7109375" style="1" customWidth="1"/>
    <col min="26" max="26" width="7.5703125" style="1" customWidth="1"/>
    <col min="27" max="27" width="10.5703125" style="1" customWidth="1"/>
    <col min="28" max="28" width="8.7109375" style="1" customWidth="1"/>
    <col min="29" max="29" width="5.5703125" style="1" bestFit="1" customWidth="1"/>
    <col min="30" max="30" width="9.28515625" style="1" customWidth="1"/>
    <col min="31" max="31" width="5.5703125" style="1" bestFit="1" customWidth="1"/>
    <col min="32" max="32" width="8.42578125" style="1" customWidth="1"/>
    <col min="33" max="33" width="7.28515625" style="1" customWidth="1"/>
    <col min="34" max="34" width="23" style="2" customWidth="1"/>
    <col min="35" max="35" width="18.85546875" style="1" customWidth="1"/>
    <col min="36" max="36" width="16.85546875" style="1" customWidth="1"/>
    <col min="37" max="37" width="14.85546875" style="1" customWidth="1"/>
    <col min="38" max="38" width="18.5703125" style="2" customWidth="1"/>
    <col min="39" max="39" width="21" style="2" hidden="1" customWidth="1"/>
    <col min="40" max="16384" width="11.42578125" style="2"/>
  </cols>
  <sheetData>
    <row r="1" spans="1:71" ht="16.5" customHeight="1" x14ac:dyDescent="0.25">
      <c r="A1" s="242" t="s">
        <v>558</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4"/>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24" customHeight="1" x14ac:dyDescent="0.25">
      <c r="A2" s="245"/>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7"/>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1:71" x14ac:dyDescent="0.25">
      <c r="A3" s="24"/>
      <c r="B3" s="24"/>
      <c r="C3" s="24"/>
      <c r="D3" s="24"/>
      <c r="E3" s="25"/>
      <c r="F3" s="24"/>
      <c r="G3" s="24"/>
      <c r="H3" s="23"/>
      <c r="I3" s="24"/>
      <c r="J3" s="24"/>
      <c r="K3" s="24"/>
      <c r="L3" s="24"/>
      <c r="M3" s="24"/>
      <c r="N3" s="24"/>
      <c r="O3" s="24"/>
      <c r="P3" s="24"/>
      <c r="Q3" s="24"/>
      <c r="R3" s="24"/>
      <c r="S3" s="23"/>
      <c r="T3" s="24"/>
      <c r="U3" s="24"/>
      <c r="V3" s="24"/>
      <c r="W3" s="24"/>
      <c r="X3" s="24"/>
      <c r="Y3" s="24"/>
      <c r="Z3" s="24"/>
      <c r="AA3" s="24"/>
      <c r="AB3" s="24"/>
      <c r="AC3" s="24"/>
      <c r="AD3" s="24"/>
      <c r="AE3" s="24"/>
      <c r="AF3" s="24"/>
      <c r="AG3" s="24"/>
      <c r="AH3" s="23"/>
      <c r="AI3" s="24"/>
      <c r="AJ3" s="24"/>
      <c r="AK3" s="24"/>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row>
    <row r="4" spans="1:71" x14ac:dyDescent="0.25">
      <c r="A4" s="248" t="s">
        <v>132</v>
      </c>
      <c r="B4" s="249"/>
      <c r="C4" s="249"/>
      <c r="D4" s="249"/>
      <c r="E4" s="249"/>
      <c r="F4" s="249"/>
      <c r="G4" s="249"/>
      <c r="H4" s="249"/>
      <c r="I4" s="249"/>
      <c r="J4" s="250"/>
      <c r="K4" s="248" t="s">
        <v>133</v>
      </c>
      <c r="L4" s="249"/>
      <c r="M4" s="249"/>
      <c r="N4" s="249"/>
      <c r="O4" s="249"/>
      <c r="P4" s="249"/>
      <c r="Q4" s="250"/>
      <c r="R4" s="248" t="s">
        <v>134</v>
      </c>
      <c r="S4" s="249"/>
      <c r="T4" s="249"/>
      <c r="U4" s="249"/>
      <c r="V4" s="249"/>
      <c r="W4" s="249"/>
      <c r="X4" s="249"/>
      <c r="Y4" s="249"/>
      <c r="Z4" s="250"/>
      <c r="AA4" s="248" t="s">
        <v>135</v>
      </c>
      <c r="AB4" s="249"/>
      <c r="AC4" s="249"/>
      <c r="AD4" s="249"/>
      <c r="AE4" s="249"/>
      <c r="AF4" s="249"/>
      <c r="AG4" s="250"/>
      <c r="AH4" s="248" t="s">
        <v>34</v>
      </c>
      <c r="AI4" s="249"/>
      <c r="AJ4" s="249"/>
      <c r="AK4" s="249"/>
      <c r="AL4" s="249"/>
      <c r="AM4" s="250"/>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row>
    <row r="5" spans="1:71" ht="16.5" customHeight="1" x14ac:dyDescent="0.25">
      <c r="A5" s="255" t="s">
        <v>0</v>
      </c>
      <c r="B5" s="258" t="s">
        <v>206</v>
      </c>
      <c r="C5" s="258" t="s">
        <v>207</v>
      </c>
      <c r="D5" s="258" t="s">
        <v>189</v>
      </c>
      <c r="E5" s="260" t="s">
        <v>2</v>
      </c>
      <c r="F5" s="258" t="s">
        <v>3</v>
      </c>
      <c r="G5" s="258" t="s">
        <v>38</v>
      </c>
      <c r="H5" s="259" t="s">
        <v>1</v>
      </c>
      <c r="I5" s="257" t="s">
        <v>44</v>
      </c>
      <c r="J5" s="258" t="s">
        <v>128</v>
      </c>
      <c r="K5" s="261" t="s">
        <v>33</v>
      </c>
      <c r="L5" s="262" t="s">
        <v>5</v>
      </c>
      <c r="M5" s="257" t="s">
        <v>81</v>
      </c>
      <c r="N5" s="257" t="s">
        <v>86</v>
      </c>
      <c r="O5" s="264" t="s">
        <v>39</v>
      </c>
      <c r="P5" s="262" t="s">
        <v>5</v>
      </c>
      <c r="Q5" s="258" t="s">
        <v>42</v>
      </c>
      <c r="R5" s="251" t="s">
        <v>11</v>
      </c>
      <c r="S5" s="254" t="s">
        <v>154</v>
      </c>
      <c r="T5" s="257" t="s">
        <v>12</v>
      </c>
      <c r="U5" s="254" t="s">
        <v>8</v>
      </c>
      <c r="V5" s="254"/>
      <c r="W5" s="254"/>
      <c r="X5" s="254"/>
      <c r="Y5" s="254"/>
      <c r="Z5" s="254"/>
      <c r="AA5" s="253" t="s">
        <v>131</v>
      </c>
      <c r="AB5" s="253" t="s">
        <v>40</v>
      </c>
      <c r="AC5" s="253" t="s">
        <v>5</v>
      </c>
      <c r="AD5" s="253" t="s">
        <v>41</v>
      </c>
      <c r="AE5" s="253" t="s">
        <v>5</v>
      </c>
      <c r="AF5" s="253" t="s">
        <v>43</v>
      </c>
      <c r="AG5" s="251" t="s">
        <v>29</v>
      </c>
      <c r="AH5" s="254" t="s">
        <v>208</v>
      </c>
      <c r="AI5" s="254" t="s">
        <v>234</v>
      </c>
      <c r="AJ5" s="254" t="s">
        <v>217</v>
      </c>
      <c r="AK5" s="254" t="s">
        <v>218</v>
      </c>
      <c r="AL5" s="254" t="s">
        <v>209</v>
      </c>
      <c r="AM5" s="254" t="s">
        <v>35</v>
      </c>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1:71" s="3" customFormat="1" ht="94.5" customHeight="1" x14ac:dyDescent="0.25">
      <c r="A6" s="256"/>
      <c r="B6" s="254"/>
      <c r="C6" s="254"/>
      <c r="D6" s="254"/>
      <c r="E6" s="260"/>
      <c r="F6" s="254"/>
      <c r="G6" s="254"/>
      <c r="H6" s="260"/>
      <c r="I6" s="258"/>
      <c r="J6" s="254"/>
      <c r="K6" s="258"/>
      <c r="L6" s="263"/>
      <c r="M6" s="258"/>
      <c r="N6" s="258"/>
      <c r="O6" s="263"/>
      <c r="P6" s="263"/>
      <c r="Q6" s="254"/>
      <c r="R6" s="252"/>
      <c r="S6" s="254"/>
      <c r="T6" s="258"/>
      <c r="U6" s="5" t="s">
        <v>13</v>
      </c>
      <c r="V6" s="5" t="s">
        <v>17</v>
      </c>
      <c r="W6" s="5" t="s">
        <v>28</v>
      </c>
      <c r="X6" s="5" t="s">
        <v>18</v>
      </c>
      <c r="Y6" s="5" t="s">
        <v>21</v>
      </c>
      <c r="Z6" s="5" t="s">
        <v>24</v>
      </c>
      <c r="AA6" s="253"/>
      <c r="AB6" s="253"/>
      <c r="AC6" s="253"/>
      <c r="AD6" s="253"/>
      <c r="AE6" s="253"/>
      <c r="AF6" s="253"/>
      <c r="AG6" s="252"/>
      <c r="AH6" s="254"/>
      <c r="AI6" s="254"/>
      <c r="AJ6" s="254"/>
      <c r="AK6" s="254"/>
      <c r="AL6" s="254"/>
      <c r="AM6" s="254"/>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row>
    <row r="7" spans="1:71" ht="167.25" customHeight="1" x14ac:dyDescent="0.25">
      <c r="A7" s="216">
        <v>1</v>
      </c>
      <c r="B7" s="213" t="s">
        <v>461</v>
      </c>
      <c r="C7" s="223" t="s">
        <v>210</v>
      </c>
      <c r="D7" s="223" t="s">
        <v>211</v>
      </c>
      <c r="E7" s="217" t="s">
        <v>125</v>
      </c>
      <c r="F7" s="217" t="s">
        <v>212</v>
      </c>
      <c r="G7" s="217" t="s">
        <v>213</v>
      </c>
      <c r="H7" s="219" t="s">
        <v>205</v>
      </c>
      <c r="I7" s="217" t="s">
        <v>119</v>
      </c>
      <c r="J7" s="221">
        <v>4</v>
      </c>
      <c r="K7" s="201" t="str">
        <f>IF(J7&lt;=0,"",IF(J7&lt;=2,"Muy Baja",IF(J7&lt;=24,"Baja",IF(J7&lt;=500,"Media",IF(J7&lt;=5000,"Alta","Muy Alta")))))</f>
        <v>Baja</v>
      </c>
      <c r="L7" s="204">
        <f>IF(K7="","",IF(K7="Muy Baja",0.2,IF(K7="Baja",0.4,IF(K7="Media",0.6,IF(K7="Alta",0.8,IF(K7="Muy Alta",1,))))))</f>
        <v>0.4</v>
      </c>
      <c r="M7" s="207" t="s">
        <v>146</v>
      </c>
      <c r="N7" s="149" t="str">
        <f>IF(NOT(ISERROR(MATCH(M7,'Tabla Impacto'!$B$221:$B$223,0))),'Tabla Impacto'!$F$223&amp;"Por favor no seleccionar los criterios de impacto(Afectación Económica o presupuestal y Pérdida Reputacional)",M7)</f>
        <v xml:space="preserve">     El riesgo afecta la imagen de la entidad con algunos usuarios de relevancia frente al logro de los objetivos</v>
      </c>
      <c r="O7" s="201" t="str">
        <f>IF(OR(N7='Tabla Impacto'!$C$11,N7='Tabla Impacto'!$D$11),"Leve",IF(OR(N7='Tabla Impacto'!$C$12,N7='Tabla Impacto'!$D$12),"Menor",IF(OR(N7='Tabla Impacto'!$C$13,N7='Tabla Impacto'!$D$13),"Moderado",IF(OR(N7='Tabla Impacto'!$C$14,N7='Tabla Impacto'!$D$14),"Mayor",IF(OR(N7='Tabla Impacto'!$C$15,N7='Tabla Impacto'!$D$15),"Catastrófico","")))))</f>
        <v>Moderado</v>
      </c>
      <c r="P7" s="204">
        <f>IF(O7="","",IF(O7="Leve",0.2,IF(O7="Menor",0.4,IF(O7="Moderado",0.6,IF(O7="Mayor",0.8,IF(O7="Catastrófico",1,))))))</f>
        <v>0.6</v>
      </c>
      <c r="Q7" s="209" t="str">
        <f>IF(OR(AND(K7="Muy Baja",O7="Leve"),AND(K7="Muy Baja",O7="Menor"),AND(K7="Baja",O7="Leve")),"Bajo",IF(OR(AND(K7="Muy baja",O7="Moderado"),AND(K7="Baja",O7="Menor"),AND(K7="Baja",O7="Moderado"),AND(K7="Media",O7="Leve"),AND(K7="Media",O7="Menor"),AND(K7="Media",O7="Moderado"),AND(K7="Alta",O7="Leve"),AND(K7="Alta",O7="Menor")),"Moderado",IF(OR(AND(K7="Muy Baja",O7="Mayor"),AND(K7="Baja",O7="Mayor"),AND(K7="Media",O7="Mayor"),AND(K7="Alta",O7="Moderado"),AND(K7="Alta",O7="Mayor"),AND(K7="Muy Alta",O7="Leve"),AND(K7="Muy Alta",O7="Menor"),AND(K7="Muy Alta",O7="Moderado"),AND(K7="Muy Alta",O7="Mayor")),"Alto",IF(OR(AND(K7="Muy Baja",O7="Catastrófico"),AND(K7="Baja",O7="Catastrófico"),AND(K7="Media",O7="Catastrófico"),AND(K7="Alta",O7="Catastrófico"),AND(K7="Muy Alta",O7="Catastrófico")),"Extremo",""))))</f>
        <v>Moderado</v>
      </c>
      <c r="R7" s="100">
        <v>1</v>
      </c>
      <c r="S7" s="101" t="s">
        <v>214</v>
      </c>
      <c r="T7" s="102" t="str">
        <f>IF(OR(U7="Preventivo",U7="Detectivo"),"Probabilidad",IF(U7="Correctivo","Impacto",""))</f>
        <v>Probabilidad</v>
      </c>
      <c r="U7" s="103" t="s">
        <v>14</v>
      </c>
      <c r="V7" s="103" t="s">
        <v>9</v>
      </c>
      <c r="W7" s="104" t="str">
        <f>IF(AND(U7="Preventivo",V7="Automático"),"50%",IF(AND(U7="Preventivo",V7="Manual"),"40%",IF(AND(U7="Detectivo",V7="Automático"),"40%",IF(AND(U7="Detectivo",V7="Manual"),"30%",IF(AND(U7="Correctivo",V7="Automático"),"35%",IF(AND(U7="Correctivo",V7="Manual"),"25%",""))))))</f>
        <v>40%</v>
      </c>
      <c r="X7" s="103" t="s">
        <v>19</v>
      </c>
      <c r="Y7" s="103" t="s">
        <v>22</v>
      </c>
      <c r="Z7" s="103" t="s">
        <v>113</v>
      </c>
      <c r="AA7" s="105">
        <f>IFERROR(IF(T7="Probabilidad",($L$7-(+$L$7*W7)),IF(T7="Impacto",$L$7,"")),"")</f>
        <v>0.24</v>
      </c>
      <c r="AB7" s="106" t="str">
        <f>IFERROR(IF(AA7="","",IF(AA7&lt;=0.2,"Muy Baja",IF(AA7&lt;=0.4,"Baja",IF(AA7&lt;=0.6,"Media",IF(AA7&lt;=0.8,"Alta","Muy Alta"))))),"")</f>
        <v>Baja</v>
      </c>
      <c r="AC7" s="107">
        <f>+AA7</f>
        <v>0.24</v>
      </c>
      <c r="AD7" s="106" t="str">
        <f>IFERROR(IF(AE7="","",IF(AE7&lt;=0.2,"Leve",IF(AE7&lt;=0.4,"Menor",IF(AE7&lt;=0.6,"Moderado",IF(AE7&lt;=0.8,"Mayor","Catastrófico"))))),"")</f>
        <v>Moderado</v>
      </c>
      <c r="AE7" s="107">
        <f>IFERROR(IF(T7="Impacto",($P$7-(+$P$7*W7)),IF(T7="Probabilidad",$P$7,"")),"")</f>
        <v>0.6</v>
      </c>
      <c r="AF7" s="108" t="str">
        <f>IFERROR(IF(OR(AND(AB7="Muy Baja",AD7="Leve"),AND(AB7="Muy Baja",AD7="Menor"),AND(AB7="Baja",AD7="Leve")),"Bajo",IF(OR(AND(AB7="Muy baja",AD7="Moderado"),AND(AB7="Baja",AD7="Menor"),AND(AB7="Baja",AD7="Moderado"),AND(AB7="Media",AD7="Leve"),AND(AB7="Media",AD7="Menor"),AND(AB7="Media",AD7="Moderado"),AND(AB7="Alta",AD7="Leve"),AND(AB7="Alta",AD7="Menor")),"Moderado",IF(OR(AND(AB7="Muy Baja",AD7="Mayor"),AND(AB7="Baja",AD7="Mayor"),AND(AB7="Media",AD7="Mayor"),AND(AB7="Alta",AD7="Moderado"),AND(AB7="Alta",AD7="Mayor"),AND(AB7="Muy Alta",AD7="Leve"),AND(AB7="Muy Alta",AD7="Menor"),AND(AB7="Muy Alta",AD7="Moderado"),AND(AB7="Muy Alta",AD7="Mayor")),"Alto",IF(OR(AND(AB7="Muy Baja",AD7="Catastrófico"),AND(AB7="Baja",AD7="Catastrófico"),AND(AB7="Media",AD7="Catastrófico"),AND(AB7="Alta",AD7="Catastrófico"),AND(AB7="Muy Alta",AD7="Catastrófico")),"Extremo","")))),"")</f>
        <v>Moderado</v>
      </c>
      <c r="AG7" s="109" t="s">
        <v>129</v>
      </c>
      <c r="AH7" s="144" t="s">
        <v>215</v>
      </c>
      <c r="AI7" s="111" t="s">
        <v>233</v>
      </c>
      <c r="AJ7" s="134" t="s">
        <v>219</v>
      </c>
      <c r="AK7" s="134" t="s">
        <v>219</v>
      </c>
      <c r="AL7" s="148" t="s">
        <v>216</v>
      </c>
      <c r="AM7" s="111"/>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row>
    <row r="8" spans="1:71" ht="167.25" customHeight="1" x14ac:dyDescent="0.25">
      <c r="A8" s="212"/>
      <c r="B8" s="214"/>
      <c r="C8" s="227"/>
      <c r="D8" s="224"/>
      <c r="E8" s="218"/>
      <c r="F8" s="218"/>
      <c r="G8" s="218"/>
      <c r="H8" s="220"/>
      <c r="I8" s="218"/>
      <c r="J8" s="222"/>
      <c r="K8" s="202"/>
      <c r="L8" s="205"/>
      <c r="M8" s="208"/>
      <c r="N8" s="150"/>
      <c r="O8" s="202"/>
      <c r="P8" s="205"/>
      <c r="Q8" s="210"/>
      <c r="R8" s="100">
        <v>2</v>
      </c>
      <c r="S8" s="101"/>
      <c r="T8" s="102" t="str">
        <f t="shared" ref="T8:T9" si="0">IF(OR(U8="Preventivo",U8="Detectivo"),"Probabilidad",IF(U8="Correctivo","Impacto",""))</f>
        <v>Impacto</v>
      </c>
      <c r="U8" s="103" t="s">
        <v>16</v>
      </c>
      <c r="V8" s="103" t="s">
        <v>9</v>
      </c>
      <c r="W8" s="104" t="str">
        <f t="shared" ref="W8:W9" si="1">IF(AND(U8="Preventivo",V8="Automático"),"50%",IF(AND(U8="Preventivo",V8="Manual"),"40%",IF(AND(U8="Detectivo",V8="Automático"),"40%",IF(AND(U8="Detectivo",V8="Manual"),"30%",IF(AND(U8="Correctivo",V8="Automático"),"35%",IF(AND(U8="Correctivo",V8="Manual"),"25%",""))))))</f>
        <v>25%</v>
      </c>
      <c r="X8" s="103" t="s">
        <v>20</v>
      </c>
      <c r="Y8" s="103" t="s">
        <v>23</v>
      </c>
      <c r="Z8" s="103" t="s">
        <v>113</v>
      </c>
      <c r="AA8" s="105">
        <f>IFERROR(IF(T8="Probabilidad",($L$7-(+$L$7*W8)),IF(T8="Impacto",$L$7,"")),"")</f>
        <v>0.4</v>
      </c>
      <c r="AB8" s="106" t="str">
        <f t="shared" ref="AB8:AB9" si="2">IFERROR(IF(AA8="","",IF(AA8&lt;=0.2,"Muy Baja",IF(AA8&lt;=0.4,"Baja",IF(AA8&lt;=0.6,"Media",IF(AA8&lt;=0.8,"Alta","Muy Alta"))))),"")</f>
        <v>Baja</v>
      </c>
      <c r="AC8" s="107">
        <f t="shared" ref="AC8:AC9" si="3">+AA8</f>
        <v>0.4</v>
      </c>
      <c r="AD8" s="106" t="str">
        <f t="shared" ref="AD8:AD9" si="4">IFERROR(IF(AE8="","",IF(AE8&lt;=0.2,"Leve",IF(AE8&lt;=0.4,"Menor",IF(AE8&lt;=0.6,"Moderado",IF(AE8&lt;=0.8,"Mayor","Catastrófico"))))),"")</f>
        <v>Moderado</v>
      </c>
      <c r="AE8" s="107">
        <f t="shared" ref="AE8:AE9" si="5">IFERROR(IF(T8="Impacto",($P$7-(+$P$7*W8)),IF(T8="Probabilidad",$P$7,"")),"")</f>
        <v>0.44999999999999996</v>
      </c>
      <c r="AF8" s="108" t="str">
        <f t="shared" ref="AF8:AF9" si="6">IFERROR(IF(OR(AND(AB8="Muy Baja",AD8="Leve"),AND(AB8="Muy Baja",AD8="Menor"),AND(AB8="Baja",AD8="Leve")),"Bajo",IF(OR(AND(AB8="Muy baja",AD8="Moderado"),AND(AB8="Baja",AD8="Menor"),AND(AB8="Baja",AD8="Moderado"),AND(AB8="Media",AD8="Leve"),AND(AB8="Media",AD8="Menor"),AND(AB8="Media",AD8="Moderado"),AND(AB8="Alta",AD8="Leve"),AND(AB8="Alta",AD8="Menor")),"Moderado",IF(OR(AND(AB8="Muy Baja",AD8="Mayor"),AND(AB8="Baja",AD8="Mayor"),AND(AB8="Media",AD8="Mayor"),AND(AB8="Alta",AD8="Moderado"),AND(AB8="Alta",AD8="Mayor"),AND(AB8="Muy Alta",AD8="Leve"),AND(AB8="Muy Alta",AD8="Menor"),AND(AB8="Muy Alta",AD8="Moderado"),AND(AB8="Muy Alta",AD8="Mayor")),"Alto",IF(OR(AND(AB8="Muy Baja",AD8="Catastrófico"),AND(AB8="Baja",AD8="Catastrófico"),AND(AB8="Media",AD8="Catastrófico"),AND(AB8="Alta",AD8="Catastrófico"),AND(AB8="Muy Alta",AD8="Catastrófico")),"Extremo","")))),"")</f>
        <v>Moderado</v>
      </c>
      <c r="AG8" s="109"/>
      <c r="AH8" s="148"/>
      <c r="AI8" s="111"/>
      <c r="AJ8" s="112"/>
      <c r="AK8" s="112"/>
      <c r="AL8" s="148"/>
      <c r="AM8" s="111"/>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row>
    <row r="9" spans="1:71" ht="167.25" customHeight="1" x14ac:dyDescent="0.25">
      <c r="A9" s="212"/>
      <c r="B9" s="215"/>
      <c r="C9" s="227"/>
      <c r="D9" s="224"/>
      <c r="E9" s="218"/>
      <c r="F9" s="218"/>
      <c r="G9" s="218"/>
      <c r="H9" s="220"/>
      <c r="I9" s="218"/>
      <c r="J9" s="222"/>
      <c r="K9" s="203"/>
      <c r="L9" s="206"/>
      <c r="M9" s="208"/>
      <c r="N9" s="150"/>
      <c r="O9" s="203"/>
      <c r="P9" s="206"/>
      <c r="Q9" s="211"/>
      <c r="R9" s="100">
        <v>3</v>
      </c>
      <c r="S9" s="101"/>
      <c r="T9" s="102" t="str">
        <f t="shared" si="0"/>
        <v>Probabilidad</v>
      </c>
      <c r="U9" s="103" t="s">
        <v>15</v>
      </c>
      <c r="V9" s="103" t="s">
        <v>9</v>
      </c>
      <c r="W9" s="104" t="str">
        <f t="shared" si="1"/>
        <v>30%</v>
      </c>
      <c r="X9" s="103" t="s">
        <v>19</v>
      </c>
      <c r="Y9" s="103" t="s">
        <v>23</v>
      </c>
      <c r="Z9" s="103" t="s">
        <v>114</v>
      </c>
      <c r="AA9" s="105">
        <f>IFERROR(IF(T9="Probabilidad",($L$7-(+$L$7*W9)),IF(T9="Impacto",$L$7,"")),"")</f>
        <v>0.28000000000000003</v>
      </c>
      <c r="AB9" s="106" t="str">
        <f t="shared" si="2"/>
        <v>Baja</v>
      </c>
      <c r="AC9" s="107">
        <f t="shared" si="3"/>
        <v>0.28000000000000003</v>
      </c>
      <c r="AD9" s="106" t="str">
        <f t="shared" si="4"/>
        <v>Moderado</v>
      </c>
      <c r="AE9" s="107">
        <f t="shared" si="5"/>
        <v>0.6</v>
      </c>
      <c r="AF9" s="108" t="str">
        <f t="shared" si="6"/>
        <v>Moderado</v>
      </c>
      <c r="AG9" s="109"/>
      <c r="AH9" s="148"/>
      <c r="AI9" s="111"/>
      <c r="AJ9" s="112"/>
      <c r="AK9" s="112"/>
      <c r="AL9" s="148"/>
      <c r="AM9" s="111"/>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0" spans="1:71" ht="151.5" customHeight="1" x14ac:dyDescent="0.25">
      <c r="A10" s="212">
        <v>2</v>
      </c>
      <c r="B10" s="213" t="s">
        <v>461</v>
      </c>
      <c r="C10" s="223" t="s">
        <v>210</v>
      </c>
      <c r="D10" s="223" t="s">
        <v>211</v>
      </c>
      <c r="E10" s="217" t="s">
        <v>127</v>
      </c>
      <c r="F10" s="225" t="s">
        <v>220</v>
      </c>
      <c r="G10" s="233" t="s">
        <v>536</v>
      </c>
      <c r="H10" s="235" t="s">
        <v>221</v>
      </c>
      <c r="I10" s="217" t="s">
        <v>462</v>
      </c>
      <c r="J10" s="221">
        <v>160</v>
      </c>
      <c r="K10" s="201" t="str">
        <f>IF(J10&lt;=0,"",IF(J10&lt;=2,"Muy Baja",IF(J10&lt;=24,"Baja",IF(J10&lt;=500,"Media",IF(J10&lt;=5000,"Alta","Muy Alta")))))</f>
        <v>Media</v>
      </c>
      <c r="L10" s="204">
        <f>IF(K10="","",IF(K10="Muy Baja",0.2,IF(K10="Baja",0.4,IF(K10="Media",0.6,IF(K10="Alta",0.8,IF(K10="Muy Alta",1,))))))</f>
        <v>0.6</v>
      </c>
      <c r="M10" s="207" t="s">
        <v>146</v>
      </c>
      <c r="N10" s="149" t="str">
        <f>IF(NOT(ISERROR(MATCH(M10,'Tabla Impacto'!$B$221:$B$223,0))),'Tabla Impacto'!$F$223&amp;"Por favor no seleccionar los criterios de impacto(Afectación Económica o presupuestal y Pérdida Reputacional)",M10)</f>
        <v xml:space="preserve">     El riesgo afecta la imagen de la entidad con algunos usuarios de relevancia frente al logro de los objetivos</v>
      </c>
      <c r="O10" s="201" t="str">
        <f>IF(OR(N10='Tabla Impacto'!$C$11,N10='Tabla Impacto'!$D$11),"Leve",IF(OR(N10='Tabla Impacto'!$C$12,N10='Tabla Impacto'!$D$12),"Menor",IF(OR(N10='Tabla Impacto'!$C$13,N10='Tabla Impacto'!$D$13),"Moderado",IF(OR(N10='Tabla Impacto'!$C$14,N10='Tabla Impacto'!$D$14),"Mayor",IF(OR(N10='Tabla Impacto'!$C$15,N10='Tabla Impacto'!$D$15),"Catastrófico","")))))</f>
        <v>Moderado</v>
      </c>
      <c r="P10" s="204">
        <f>IF(O10="","",IF(O10="Leve",0.2,IF(O10="Menor",0.4,IF(O10="Moderado",0.6,IF(O10="Mayor",0.8,IF(O10="Catastrófico",1,))))))</f>
        <v>0.6</v>
      </c>
      <c r="Q10" s="209" t="str">
        <f>IF(OR(AND(K10="Muy Baja",O10="Leve"),AND(K10="Muy Baja",O10="Menor"),AND(K10="Baja",O10="Leve")),"Bajo",IF(OR(AND(K10="Muy baja",O10="Moderado"),AND(K10="Baja",O10="Menor"),AND(K10="Baja",O10="Moderado"),AND(K10="Media",O10="Leve"),AND(K10="Media",O10="Menor"),AND(K10="Media",O10="Moderado"),AND(K10="Alta",O10="Leve"),AND(K10="Alta",O10="Menor")),"Moderado",IF(OR(AND(K10="Muy Baja",O10="Mayor"),AND(K10="Baja",O10="Mayor"),AND(K10="Media",O10="Mayor"),AND(K10="Alta",O10="Moderado"),AND(K10="Alta",O10="Mayor"),AND(K10="Muy Alta",O10="Leve"),AND(K10="Muy Alta",O10="Menor"),AND(K10="Muy Alta",O10="Moderado"),AND(K10="Muy Alta",O10="Mayor")),"Alto",IF(OR(AND(K10="Muy Baja",O10="Catastrófico"),AND(K10="Baja",O10="Catastrófico"),AND(K10="Media",O10="Catastrófico"),AND(K10="Alta",O10="Catastrófico"),AND(K10="Muy Alta",O10="Catastrófico")),"Extremo",""))))</f>
        <v>Moderado</v>
      </c>
      <c r="R10" s="100">
        <v>1</v>
      </c>
      <c r="S10" s="101" t="s">
        <v>222</v>
      </c>
      <c r="T10" s="102" t="str">
        <f t="shared" ref="T10:T16" si="7">IF(OR(U10="Preventivo",U10="Detectivo"),"Probabilidad",IF(U10="Correctivo","Impacto",""))</f>
        <v>Probabilidad</v>
      </c>
      <c r="U10" s="103" t="s">
        <v>14</v>
      </c>
      <c r="V10" s="103" t="s">
        <v>9</v>
      </c>
      <c r="W10" s="104" t="str">
        <f t="shared" ref="W10:W16" si="8">IF(AND(U10="Preventivo",V10="Automático"),"50%",IF(AND(U10="Preventivo",V10="Manual"),"40%",IF(AND(U10="Detectivo",V10="Automático"),"40%",IF(AND(U10="Detectivo",V10="Manual"),"30%",IF(AND(U10="Correctivo",V10="Automático"),"35%",IF(AND(U10="Correctivo",V10="Manual"),"25%",""))))))</f>
        <v>40%</v>
      </c>
      <c r="X10" s="103" t="s">
        <v>19</v>
      </c>
      <c r="Y10" s="103" t="s">
        <v>22</v>
      </c>
      <c r="Z10" s="103" t="s">
        <v>113</v>
      </c>
      <c r="AA10" s="105">
        <f t="shared" ref="AA10:AA16" si="9">IFERROR(IF(T10="Probabilidad",(L10-(+L10*W10)),IF(T10="Impacto",L10,"")),"")</f>
        <v>0.36</v>
      </c>
      <c r="AB10" s="106" t="str">
        <f t="shared" ref="AB10:AB16" si="10">IFERROR(IF(AA10="","",IF(AA10&lt;=0.2,"Muy Baja",IF(AA10&lt;=0.4,"Baja",IF(AA10&lt;=0.6,"Media",IF(AA10&lt;=0.8,"Alta","Muy Alta"))))),"")</f>
        <v>Baja</v>
      </c>
      <c r="AC10" s="107">
        <f t="shared" ref="AC10:AC16" si="11">+AA10</f>
        <v>0.36</v>
      </c>
      <c r="AD10" s="106" t="str">
        <f t="shared" ref="AD10:AD16" si="12">IFERROR(IF(AE10="","",IF(AE10&lt;=0.2,"Leve",IF(AE10&lt;=0.4,"Menor",IF(AE10&lt;=0.6,"Moderado",IF(AE10&lt;=0.8,"Mayor","Catastrófico"))))),"")</f>
        <v>Moderado</v>
      </c>
      <c r="AE10" s="107">
        <f t="shared" ref="AE10:AE16" si="13">IFERROR(IF(T10="Impacto",(P10-(+P10*W10)),IF(T10="Probabilidad",P10,"")),"")</f>
        <v>0.6</v>
      </c>
      <c r="AF10" s="108" t="str">
        <f t="shared" ref="AF10:AF16" si="14">IFERROR(IF(OR(AND(AB10="Muy Baja",AD10="Leve"),AND(AB10="Muy Baja",AD10="Menor"),AND(AB10="Baja",AD10="Leve")),"Bajo",IF(OR(AND(AB10="Muy baja",AD10="Moderado"),AND(AB10="Baja",AD10="Menor"),AND(AB10="Baja",AD10="Moderado"),AND(AB10="Media",AD10="Leve"),AND(AB10="Media",AD10="Menor"),AND(AB10="Media",AD10="Moderado"),AND(AB10="Alta",AD10="Leve"),AND(AB10="Alta",AD10="Menor")),"Moderado",IF(OR(AND(AB10="Muy Baja",AD10="Mayor"),AND(AB10="Baja",AD10="Mayor"),AND(AB10="Media",AD10="Mayor"),AND(AB10="Alta",AD10="Moderado"),AND(AB10="Alta",AD10="Mayor"),AND(AB10="Muy Alta",AD10="Leve"),AND(AB10="Muy Alta",AD10="Menor"),AND(AB10="Muy Alta",AD10="Moderado"),AND(AB10="Muy Alta",AD10="Mayor")),"Alto",IF(OR(AND(AB10="Muy Baja",AD10="Catastrófico"),AND(AB10="Baja",AD10="Catastrófico"),AND(AB10="Media",AD10="Catastrófico"),AND(AB10="Alta",AD10="Catastrófico"),AND(AB10="Muy Alta",AD10="Catastrófico")),"Extremo","")))),"")</f>
        <v>Moderado</v>
      </c>
      <c r="AG10" s="109" t="s">
        <v>129</v>
      </c>
      <c r="AH10" s="148" t="s">
        <v>223</v>
      </c>
      <c r="AI10" s="111" t="s">
        <v>224</v>
      </c>
      <c r="AJ10" s="112" t="s">
        <v>225</v>
      </c>
      <c r="AK10" s="112" t="s">
        <v>225</v>
      </c>
      <c r="AL10" s="148" t="s">
        <v>226</v>
      </c>
      <c r="AM10" s="111"/>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ht="151.5" customHeight="1" x14ac:dyDescent="0.25">
      <c r="A11" s="212"/>
      <c r="B11" s="214"/>
      <c r="C11" s="227"/>
      <c r="D11" s="224"/>
      <c r="E11" s="218"/>
      <c r="F11" s="218"/>
      <c r="G11" s="234"/>
      <c r="H11" s="236"/>
      <c r="I11" s="218"/>
      <c r="J11" s="222"/>
      <c r="K11" s="202"/>
      <c r="L11" s="205"/>
      <c r="M11" s="208"/>
      <c r="N11" s="150"/>
      <c r="O11" s="202"/>
      <c r="P11" s="205"/>
      <c r="Q11" s="210"/>
      <c r="R11" s="100">
        <v>2</v>
      </c>
      <c r="S11" s="101"/>
      <c r="T11" s="102" t="str">
        <f t="shared" ref="T11:T12" si="15">IF(OR(U11="Preventivo",U11="Detectivo"),"Probabilidad",IF(U11="Correctivo","Impacto",""))</f>
        <v>Probabilidad</v>
      </c>
      <c r="U11" s="103" t="s">
        <v>15</v>
      </c>
      <c r="V11" s="103" t="s">
        <v>9</v>
      </c>
      <c r="W11" s="104" t="str">
        <f t="shared" ref="W11:W12" si="16">IF(AND(U11="Preventivo",V11="Automático"),"50%",IF(AND(U11="Preventivo",V11="Manual"),"40%",IF(AND(U11="Detectivo",V11="Automático"),"40%",IF(AND(U11="Detectivo",V11="Manual"),"30%",IF(AND(U11="Correctivo",V11="Automático"),"35%",IF(AND(U11="Correctivo",V11="Manual"),"25%",""))))))</f>
        <v>30%</v>
      </c>
      <c r="X11" s="103" t="s">
        <v>19</v>
      </c>
      <c r="Y11" s="103" t="s">
        <v>23</v>
      </c>
      <c r="Z11" s="103" t="s">
        <v>114</v>
      </c>
      <c r="AA11" s="105">
        <f>IFERROR(IF(T11="Probabilidad",(L10-(+L10*W11)),IF(T11="Impacto",L10,"")),"")</f>
        <v>0.42</v>
      </c>
      <c r="AB11" s="106" t="str">
        <f t="shared" ref="AB11:AB12" si="17">IFERROR(IF(AA11="","",IF(AA11&lt;=0.2,"Muy Baja",IF(AA11&lt;=0.4,"Baja",IF(AA11&lt;=0.6,"Media",IF(AA11&lt;=0.8,"Alta","Muy Alta"))))),"")</f>
        <v>Media</v>
      </c>
      <c r="AC11" s="107">
        <f t="shared" ref="AC11:AC12" si="18">+AA11</f>
        <v>0.42</v>
      </c>
      <c r="AD11" s="106" t="str">
        <f t="shared" ref="AD11:AD12" si="19">IFERROR(IF(AE11="","",IF(AE11&lt;=0.2,"Leve",IF(AE11&lt;=0.4,"Menor",IF(AE11&lt;=0.6,"Moderado",IF(AE11&lt;=0.8,"Mayor","Catastrófico"))))),"")</f>
        <v>Moderado</v>
      </c>
      <c r="AE11" s="107">
        <f>IFERROR(IF(T11="Impacto",(P10-(+P10*W11)),IF(T11="Probabilidad",P10,"")),"")</f>
        <v>0.6</v>
      </c>
      <c r="AF11" s="108" t="str">
        <f t="shared" ref="AF11:AF12" si="20">IFERROR(IF(OR(AND(AB11="Muy Baja",AD11="Leve"),AND(AB11="Muy Baja",AD11="Menor"),AND(AB11="Baja",AD11="Leve")),"Bajo",IF(OR(AND(AB11="Muy baja",AD11="Moderado"),AND(AB11="Baja",AD11="Menor"),AND(AB11="Baja",AD11="Moderado"),AND(AB11="Media",AD11="Leve"),AND(AB11="Media",AD11="Menor"),AND(AB11="Media",AD11="Moderado"),AND(AB11="Alta",AD11="Leve"),AND(AB11="Alta",AD11="Menor")),"Moderado",IF(OR(AND(AB11="Muy Baja",AD11="Mayor"),AND(AB11="Baja",AD11="Mayor"),AND(AB11="Media",AD11="Mayor"),AND(AB11="Alta",AD11="Moderado"),AND(AB11="Alta",AD11="Mayor"),AND(AB11="Muy Alta",AD11="Leve"),AND(AB11="Muy Alta",AD11="Menor"),AND(AB11="Muy Alta",AD11="Moderado"),AND(AB11="Muy Alta",AD11="Mayor")),"Alto",IF(OR(AND(AB11="Muy Baja",AD11="Catastrófico"),AND(AB11="Baja",AD11="Catastrófico"),AND(AB11="Media",AD11="Catastrófico"),AND(AB11="Alta",AD11="Catastrófico"),AND(AB11="Muy Alta",AD11="Catastrófico")),"Extremo","")))),"")</f>
        <v>Moderado</v>
      </c>
      <c r="AG11" s="109"/>
      <c r="AH11" s="148"/>
      <c r="AI11" s="111"/>
      <c r="AJ11" s="112"/>
      <c r="AK11" s="112"/>
      <c r="AL11" s="148"/>
      <c r="AM11" s="111"/>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row>
    <row r="12" spans="1:71" ht="151.5" customHeight="1" x14ac:dyDescent="0.25">
      <c r="A12" s="212"/>
      <c r="B12" s="215"/>
      <c r="C12" s="227"/>
      <c r="D12" s="224"/>
      <c r="E12" s="218"/>
      <c r="F12" s="218"/>
      <c r="G12" s="234"/>
      <c r="H12" s="236"/>
      <c r="I12" s="218"/>
      <c r="J12" s="222"/>
      <c r="K12" s="203"/>
      <c r="L12" s="206"/>
      <c r="M12" s="208"/>
      <c r="N12" s="150"/>
      <c r="O12" s="203"/>
      <c r="P12" s="206"/>
      <c r="Q12" s="211"/>
      <c r="R12" s="100">
        <v>3</v>
      </c>
      <c r="S12" s="101"/>
      <c r="T12" s="102" t="str">
        <f t="shared" si="15"/>
        <v>Probabilidad</v>
      </c>
      <c r="U12" s="103" t="s">
        <v>15</v>
      </c>
      <c r="V12" s="103" t="s">
        <v>9</v>
      </c>
      <c r="W12" s="104" t="str">
        <f t="shared" si="16"/>
        <v>30%</v>
      </c>
      <c r="X12" s="103" t="s">
        <v>19</v>
      </c>
      <c r="Y12" s="103" t="s">
        <v>23</v>
      </c>
      <c r="Z12" s="103" t="s">
        <v>114</v>
      </c>
      <c r="AA12" s="105">
        <f>IFERROR(IF(T12="Probabilidad",(L10-(+L10*W12)),IF(T12="Impacto",L10,"")),"")</f>
        <v>0.42</v>
      </c>
      <c r="AB12" s="106" t="str">
        <f t="shared" si="17"/>
        <v>Media</v>
      </c>
      <c r="AC12" s="107">
        <f t="shared" si="18"/>
        <v>0.42</v>
      </c>
      <c r="AD12" s="106" t="str">
        <f t="shared" si="19"/>
        <v>Moderado</v>
      </c>
      <c r="AE12" s="107">
        <f>IFERROR(IF(T12="Impacto",(P10-(+P10*W12)),IF(T12="Probabilidad",P10,"")),"")</f>
        <v>0.6</v>
      </c>
      <c r="AF12" s="108" t="str">
        <f t="shared" si="20"/>
        <v>Moderado</v>
      </c>
      <c r="AG12" s="109"/>
      <c r="AH12" s="148"/>
      <c r="AI12" s="111"/>
      <c r="AJ12" s="112"/>
      <c r="AK12" s="112"/>
      <c r="AL12" s="148"/>
      <c r="AM12" s="111"/>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row>
    <row r="13" spans="1:71" s="1" customFormat="1" ht="151.5" customHeight="1" x14ac:dyDescent="0.25">
      <c r="A13" s="212">
        <v>3</v>
      </c>
      <c r="B13" s="213" t="s">
        <v>227</v>
      </c>
      <c r="C13" s="223" t="s">
        <v>544</v>
      </c>
      <c r="D13" s="223" t="s">
        <v>228</v>
      </c>
      <c r="E13" s="217" t="s">
        <v>125</v>
      </c>
      <c r="F13" s="217" t="s">
        <v>229</v>
      </c>
      <c r="G13" s="217" t="s">
        <v>230</v>
      </c>
      <c r="H13" s="219" t="s">
        <v>503</v>
      </c>
      <c r="I13" s="217" t="s">
        <v>462</v>
      </c>
      <c r="J13" s="221">
        <v>5000</v>
      </c>
      <c r="K13" s="201" t="str">
        <f>IF(J13&lt;=0,"",IF(J13&lt;=2,"Muy Baja",IF(J13&lt;=24,"Baja",IF(J13&lt;=500,"Media",IF(J13&lt;=5000,"Alta","Muy Alta")))))</f>
        <v>Alta</v>
      </c>
      <c r="L13" s="204">
        <f>IF(K13="","",IF(K13="Muy Baja",0.2,IF(K13="Baja",0.4,IF(K13="Media",0.6,IF(K13="Alta",0.8,IF(K13="Muy Alta",1,))))))</f>
        <v>0.8</v>
      </c>
      <c r="M13" s="207" t="s">
        <v>146</v>
      </c>
      <c r="N13" s="149" t="str">
        <f>IF(NOT(ISERROR(MATCH(M13,'Tabla Impacto'!$B$221:$B$223,0))),'Tabla Impacto'!$F$223&amp;"Por favor no seleccionar los criterios de impacto(Afectación Económica o presupuestal y Pérdida Reputacional)",M13)</f>
        <v xml:space="preserve">     El riesgo afecta la imagen de la entidad con algunos usuarios de relevancia frente al logro de los objetivos</v>
      </c>
      <c r="O13" s="201" t="str">
        <f>IF(OR(N13='Tabla Impacto'!$C$11,N13='Tabla Impacto'!$D$11),"Leve",IF(OR(N13='Tabla Impacto'!$C$12,N13='Tabla Impacto'!$D$12),"Menor",IF(OR(N13='Tabla Impacto'!$C$13,N13='Tabla Impacto'!$D$13),"Moderado",IF(OR(N13='Tabla Impacto'!$C$14,N13='Tabla Impacto'!$D$14),"Mayor",IF(OR(N13='Tabla Impacto'!$C$15,N13='Tabla Impacto'!$D$15),"Catastrófico","")))))</f>
        <v>Moderado</v>
      </c>
      <c r="P13" s="204">
        <f>IF(O13="","",IF(O13="Leve",0.2,IF(O13="Menor",0.4,IF(O13="Moderado",0.6,IF(O13="Mayor",0.8,IF(O13="Catastrófico",1,))))))</f>
        <v>0.6</v>
      </c>
      <c r="Q13" s="209" t="str">
        <f>IF(OR(AND(K13="Muy Baja",O13="Leve"),AND(K13="Muy Baja",O13="Menor"),AND(K13="Baja",O13="Leve")),"Bajo",IF(OR(AND(K13="Muy baja",O13="Moderado"),AND(K13="Baja",O13="Menor"),AND(K13="Baja",O13="Moderado"),AND(K13="Media",O13="Leve"),AND(K13="Media",O13="Menor"),AND(K13="Media",O13="Moderado"),AND(K13="Alta",O13="Leve"),AND(K13="Alta",O13="Menor")),"Moderado",IF(OR(AND(K13="Muy Baja",O13="Mayor"),AND(K13="Baja",O13="Mayor"),AND(K13="Media",O13="Mayor"),AND(K13="Alta",O13="Moderado"),AND(K13="Alta",O13="Mayor"),AND(K13="Muy Alta",O13="Leve"),AND(K13="Muy Alta",O13="Menor"),AND(K13="Muy Alta",O13="Moderado"),AND(K13="Muy Alta",O13="Mayor")),"Alto",IF(OR(AND(K13="Muy Baja",O13="Catastrófico"),AND(K13="Baja",O13="Catastrófico"),AND(K13="Media",O13="Catastrófico"),AND(K13="Alta",O13="Catastrófico"),AND(K13="Muy Alta",O13="Catastrófico")),"Extremo",""))))</f>
        <v>Alto</v>
      </c>
      <c r="R13" s="100">
        <v>1</v>
      </c>
      <c r="S13" s="148" t="s">
        <v>231</v>
      </c>
      <c r="T13" s="102" t="str">
        <f t="shared" si="7"/>
        <v>Probabilidad</v>
      </c>
      <c r="U13" s="103" t="s">
        <v>14</v>
      </c>
      <c r="V13" s="103" t="s">
        <v>9</v>
      </c>
      <c r="W13" s="104" t="str">
        <f t="shared" si="8"/>
        <v>40%</v>
      </c>
      <c r="X13" s="103" t="s">
        <v>19</v>
      </c>
      <c r="Y13" s="103" t="s">
        <v>22</v>
      </c>
      <c r="Z13" s="103" t="s">
        <v>113</v>
      </c>
      <c r="AA13" s="105">
        <f t="shared" si="9"/>
        <v>0.48</v>
      </c>
      <c r="AB13" s="106" t="str">
        <f t="shared" si="10"/>
        <v>Media</v>
      </c>
      <c r="AC13" s="107">
        <f t="shared" si="11"/>
        <v>0.48</v>
      </c>
      <c r="AD13" s="106" t="str">
        <f t="shared" si="12"/>
        <v>Moderado</v>
      </c>
      <c r="AE13" s="107">
        <f t="shared" si="13"/>
        <v>0.6</v>
      </c>
      <c r="AF13" s="108" t="str">
        <f t="shared" si="14"/>
        <v>Moderado</v>
      </c>
      <c r="AG13" s="109" t="s">
        <v>129</v>
      </c>
      <c r="AH13" s="144" t="s">
        <v>232</v>
      </c>
      <c r="AI13" s="110" t="s">
        <v>233</v>
      </c>
      <c r="AJ13" s="112" t="s">
        <v>225</v>
      </c>
      <c r="AK13" s="112" t="s">
        <v>225</v>
      </c>
      <c r="AL13" s="148" t="s">
        <v>463</v>
      </c>
      <c r="AM13" s="111"/>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row>
    <row r="14" spans="1:71" s="1" customFormat="1" ht="151.5" customHeight="1" x14ac:dyDescent="0.25">
      <c r="A14" s="212"/>
      <c r="B14" s="214"/>
      <c r="C14" s="227"/>
      <c r="D14" s="227"/>
      <c r="E14" s="218"/>
      <c r="F14" s="218"/>
      <c r="G14" s="218"/>
      <c r="H14" s="220"/>
      <c r="I14" s="218"/>
      <c r="J14" s="222"/>
      <c r="K14" s="202"/>
      <c r="L14" s="205"/>
      <c r="M14" s="208"/>
      <c r="N14" s="150"/>
      <c r="O14" s="202"/>
      <c r="P14" s="205"/>
      <c r="Q14" s="210"/>
      <c r="R14" s="100">
        <v>2</v>
      </c>
      <c r="S14" s="157"/>
      <c r="T14" s="102" t="str">
        <f t="shared" ref="T14:T15" si="21">IF(OR(U14="Preventivo",U14="Detectivo"),"Probabilidad",IF(U14="Correctivo","Impacto",""))</f>
        <v>Probabilidad</v>
      </c>
      <c r="U14" s="103" t="s">
        <v>15</v>
      </c>
      <c r="V14" s="103" t="s">
        <v>9</v>
      </c>
      <c r="W14" s="104" t="str">
        <f t="shared" ref="W14:W15" si="22">IF(AND(U14="Preventivo",V14="Automático"),"50%",IF(AND(U14="Preventivo",V14="Manual"),"40%",IF(AND(U14="Detectivo",V14="Automático"),"40%",IF(AND(U14="Detectivo",V14="Manual"),"30%",IF(AND(U14="Correctivo",V14="Automático"),"35%",IF(AND(U14="Correctivo",V14="Manual"),"25%",""))))))</f>
        <v>30%</v>
      </c>
      <c r="X14" s="103" t="s">
        <v>19</v>
      </c>
      <c r="Y14" s="103" t="s">
        <v>22</v>
      </c>
      <c r="Z14" s="103" t="s">
        <v>113</v>
      </c>
      <c r="AA14" s="105">
        <f>IFERROR(IF(T14="Probabilidad",(L13-(+L13*W14)),IF(T14="Impacto",L13,"")),"")</f>
        <v>0.56000000000000005</v>
      </c>
      <c r="AB14" s="106" t="str">
        <f t="shared" ref="AB14:AB15" si="23">IFERROR(IF(AA14="","",IF(AA14&lt;=0.2,"Muy Baja",IF(AA14&lt;=0.4,"Baja",IF(AA14&lt;=0.6,"Media",IF(AA14&lt;=0.8,"Alta","Muy Alta"))))),"")</f>
        <v>Media</v>
      </c>
      <c r="AC14" s="107">
        <f t="shared" ref="AC14:AC15" si="24">+AA14</f>
        <v>0.56000000000000005</v>
      </c>
      <c r="AD14" s="106" t="str">
        <f t="shared" ref="AD14:AD15" si="25">IFERROR(IF(AE14="","",IF(AE14&lt;=0.2,"Leve",IF(AE14&lt;=0.4,"Menor",IF(AE14&lt;=0.6,"Moderado",IF(AE14&lt;=0.8,"Mayor","Catastrófico"))))),"")</f>
        <v>Moderado</v>
      </c>
      <c r="AE14" s="107">
        <f>IFERROR(IF(T14="Impacto",(P13-(+P13*W14)),IF(T14="Probabilidad",P13,"")),"")</f>
        <v>0.6</v>
      </c>
      <c r="AF14" s="108" t="str">
        <f t="shared" ref="AF14:AF15" si="26">IFERROR(IF(OR(AND(AB14="Muy Baja",AD14="Leve"),AND(AB14="Muy Baja",AD14="Menor"),AND(AB14="Baja",AD14="Leve")),"Bajo",IF(OR(AND(AB14="Muy baja",AD14="Moderado"),AND(AB14="Baja",AD14="Menor"),AND(AB14="Baja",AD14="Moderado"),AND(AB14="Media",AD14="Leve"),AND(AB14="Media",AD14="Menor"),AND(AB14="Media",AD14="Moderado"),AND(AB14="Alta",AD14="Leve"),AND(AB14="Alta",AD14="Menor")),"Moderado",IF(OR(AND(AB14="Muy Baja",AD14="Mayor"),AND(AB14="Baja",AD14="Mayor"),AND(AB14="Media",AD14="Mayor"),AND(AB14="Alta",AD14="Moderado"),AND(AB14="Alta",AD14="Mayor"),AND(AB14="Muy Alta",AD14="Leve"),AND(AB14="Muy Alta",AD14="Menor"),AND(AB14="Muy Alta",AD14="Moderado"),AND(AB14="Muy Alta",AD14="Mayor")),"Alto",IF(OR(AND(AB14="Muy Baja",AD14="Catastrófico"),AND(AB14="Baja",AD14="Catastrófico"),AND(AB14="Media",AD14="Catastrófico"),AND(AB14="Alta",AD14="Catastrófico"),AND(AB14="Muy Alta",AD14="Catastrófico")),"Extremo","")))),"")</f>
        <v>Moderado</v>
      </c>
      <c r="AG14" s="109"/>
      <c r="AH14" s="148"/>
      <c r="AI14" s="111"/>
      <c r="AJ14" s="112"/>
      <c r="AK14" s="112"/>
      <c r="AL14" s="148"/>
      <c r="AM14" s="111"/>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row>
    <row r="15" spans="1:71" s="1" customFormat="1" ht="151.5" customHeight="1" x14ac:dyDescent="0.25">
      <c r="A15" s="212"/>
      <c r="B15" s="215"/>
      <c r="C15" s="227"/>
      <c r="D15" s="227"/>
      <c r="E15" s="218"/>
      <c r="F15" s="237"/>
      <c r="G15" s="237"/>
      <c r="H15" s="238"/>
      <c r="I15" s="218"/>
      <c r="J15" s="222"/>
      <c r="K15" s="203"/>
      <c r="L15" s="206"/>
      <c r="M15" s="208"/>
      <c r="N15" s="150"/>
      <c r="O15" s="203"/>
      <c r="P15" s="206"/>
      <c r="Q15" s="211"/>
      <c r="R15" s="100">
        <v>3</v>
      </c>
      <c r="S15" s="157"/>
      <c r="T15" s="102" t="str">
        <f t="shared" si="21"/>
        <v>Probabilidad</v>
      </c>
      <c r="U15" s="103" t="s">
        <v>15</v>
      </c>
      <c r="V15" s="103" t="s">
        <v>9</v>
      </c>
      <c r="W15" s="104" t="str">
        <f t="shared" si="22"/>
        <v>30%</v>
      </c>
      <c r="X15" s="103" t="s">
        <v>19</v>
      </c>
      <c r="Y15" s="103" t="s">
        <v>23</v>
      </c>
      <c r="Z15" s="103" t="s">
        <v>114</v>
      </c>
      <c r="AA15" s="105">
        <f>IFERROR(IF(T15="Probabilidad",(L13-(+L13*W15)),IF(T15="Impacto",L13,"")),"")</f>
        <v>0.56000000000000005</v>
      </c>
      <c r="AB15" s="106" t="str">
        <f t="shared" si="23"/>
        <v>Media</v>
      </c>
      <c r="AC15" s="107">
        <f t="shared" si="24"/>
        <v>0.56000000000000005</v>
      </c>
      <c r="AD15" s="106" t="str">
        <f t="shared" si="25"/>
        <v>Moderado</v>
      </c>
      <c r="AE15" s="107">
        <f>IFERROR(IF(T15="Impacto",(P13-(+P13*W15)),IF(T15="Probabilidad",P13,"")),"")</f>
        <v>0.6</v>
      </c>
      <c r="AF15" s="108" t="str">
        <f t="shared" si="26"/>
        <v>Moderado</v>
      </c>
      <c r="AG15" s="109"/>
      <c r="AH15" s="148"/>
      <c r="AI15" s="111"/>
      <c r="AJ15" s="112"/>
      <c r="AK15" s="112"/>
      <c r="AL15" s="148"/>
      <c r="AM15" s="111"/>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row>
    <row r="16" spans="1:71" ht="151.5" customHeight="1" x14ac:dyDescent="0.25">
      <c r="A16" s="212">
        <v>4</v>
      </c>
      <c r="B16" s="213" t="s">
        <v>502</v>
      </c>
      <c r="C16" s="223" t="s">
        <v>545</v>
      </c>
      <c r="D16" s="223" t="s">
        <v>235</v>
      </c>
      <c r="E16" s="217" t="s">
        <v>125</v>
      </c>
      <c r="F16" s="225" t="s">
        <v>236</v>
      </c>
      <c r="G16" s="225" t="s">
        <v>237</v>
      </c>
      <c r="H16" s="219" t="s">
        <v>238</v>
      </c>
      <c r="I16" s="217" t="s">
        <v>462</v>
      </c>
      <c r="J16" s="221">
        <v>480</v>
      </c>
      <c r="K16" s="201" t="str">
        <f>IF(J16&lt;=0,"",IF(J16&lt;=2,"Muy Baja",IF(J16&lt;=24,"Baja",IF(J16&lt;=500,"Media",IF(J16&lt;=5000,"Alta","Muy Alta")))))</f>
        <v>Media</v>
      </c>
      <c r="L16" s="204">
        <f>IF(K16="","",IF(K16="Muy Baja",0.2,IF(K16="Baja",0.4,IF(K16="Media",0.6,IF(K16="Alta",0.8,IF(K16="Muy Alta",1,))))))</f>
        <v>0.6</v>
      </c>
      <c r="M16" s="207" t="s">
        <v>144</v>
      </c>
      <c r="N16" s="149" t="str">
        <f>IF(NOT(ISERROR(MATCH(M16,'Tabla Impacto'!$B$221:$B$223,0))),'Tabla Impacto'!$F$223&amp;"Por favor no seleccionar los criterios de impacto(Afectación Económica o presupuestal y Pérdida Reputacional)",M16)</f>
        <v xml:space="preserve">     El riesgo afecta la imagen de alguna área de la organización</v>
      </c>
      <c r="O16" s="201" t="str">
        <f>IF(OR(N16='Tabla Impacto'!$C$11,N16='Tabla Impacto'!$D$11),"Leve",IF(OR(N16='Tabla Impacto'!$C$12,N16='Tabla Impacto'!$D$12),"Menor",IF(OR(N16='Tabla Impacto'!$C$13,N16='Tabla Impacto'!$D$13),"Moderado",IF(OR(N16='Tabla Impacto'!$C$14,N16='Tabla Impacto'!$D$14),"Mayor",IF(OR(N16='Tabla Impacto'!$C$15,N16='Tabla Impacto'!$D$15),"Catastrófico","")))))</f>
        <v>Leve</v>
      </c>
      <c r="P16" s="204">
        <f>IF(O16="","",IF(O16="Leve",0.2,IF(O16="Menor",0.4,IF(O16="Moderado",0.6,IF(O16="Mayor",0.8,IF(O16="Catastrófico",1,))))))</f>
        <v>0.2</v>
      </c>
      <c r="Q16" s="209" t="str">
        <f>IF(OR(AND(K16="Muy Baja",O16="Leve"),AND(K16="Muy Baja",O16="Menor"),AND(K16="Baja",O16="Leve")),"Bajo",IF(OR(AND(K16="Muy baja",O16="Moderado"),AND(K16="Baja",O16="Menor"),AND(K16="Baja",O16="Moderado"),AND(K16="Media",O16="Leve"),AND(K16="Media",O16="Menor"),AND(K16="Media",O16="Moderado"),AND(K16="Alta",O16="Leve"),AND(K16="Alta",O16="Menor")),"Moderado",IF(OR(AND(K16="Muy Baja",O16="Mayor"),AND(K16="Baja",O16="Mayor"),AND(K16="Media",O16="Mayor"),AND(K16="Alta",O16="Moderado"),AND(K16="Alta",O16="Mayor"),AND(K16="Muy Alta",O16="Leve"),AND(K16="Muy Alta",O16="Menor"),AND(K16="Muy Alta",O16="Moderado"),AND(K16="Muy Alta",O16="Mayor")),"Alto",IF(OR(AND(K16="Muy Baja",O16="Catastrófico"),AND(K16="Baja",O16="Catastrófico"),AND(K16="Media",O16="Catastrófico"),AND(K16="Alta",O16="Catastrófico"),AND(K16="Muy Alta",O16="Catastrófico")),"Extremo",""))))</f>
        <v>Moderado</v>
      </c>
      <c r="R16" s="100">
        <v>1</v>
      </c>
      <c r="S16" s="148" t="s">
        <v>239</v>
      </c>
      <c r="T16" s="102" t="str">
        <f t="shared" si="7"/>
        <v>Probabilidad</v>
      </c>
      <c r="U16" s="103" t="s">
        <v>15</v>
      </c>
      <c r="V16" s="103" t="s">
        <v>9</v>
      </c>
      <c r="W16" s="104" t="str">
        <f t="shared" si="8"/>
        <v>30%</v>
      </c>
      <c r="X16" s="103" t="s">
        <v>19</v>
      </c>
      <c r="Y16" s="103" t="s">
        <v>22</v>
      </c>
      <c r="Z16" s="103" t="s">
        <v>113</v>
      </c>
      <c r="AA16" s="105">
        <f t="shared" si="9"/>
        <v>0.42</v>
      </c>
      <c r="AB16" s="106" t="str">
        <f t="shared" si="10"/>
        <v>Media</v>
      </c>
      <c r="AC16" s="107">
        <f t="shared" si="11"/>
        <v>0.42</v>
      </c>
      <c r="AD16" s="106" t="str">
        <f t="shared" si="12"/>
        <v>Leve</v>
      </c>
      <c r="AE16" s="107">
        <f t="shared" si="13"/>
        <v>0.2</v>
      </c>
      <c r="AF16" s="108" t="str">
        <f t="shared" si="14"/>
        <v>Moderado</v>
      </c>
      <c r="AG16" s="109" t="s">
        <v>129</v>
      </c>
      <c r="AH16" s="148" t="s">
        <v>241</v>
      </c>
      <c r="AI16" s="133" t="s">
        <v>242</v>
      </c>
      <c r="AJ16" s="112" t="s">
        <v>225</v>
      </c>
      <c r="AK16" s="112" t="s">
        <v>225</v>
      </c>
      <c r="AL16" s="144" t="s">
        <v>243</v>
      </c>
      <c r="AM16" s="111"/>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row>
    <row r="17" spans="1:71" ht="151.5" customHeight="1" x14ac:dyDescent="0.25">
      <c r="A17" s="212"/>
      <c r="B17" s="214"/>
      <c r="C17" s="227"/>
      <c r="D17" s="227"/>
      <c r="E17" s="218"/>
      <c r="F17" s="218"/>
      <c r="G17" s="218"/>
      <c r="H17" s="220"/>
      <c r="I17" s="218"/>
      <c r="J17" s="222"/>
      <c r="K17" s="202"/>
      <c r="L17" s="205"/>
      <c r="M17" s="208"/>
      <c r="N17" s="150"/>
      <c r="O17" s="202"/>
      <c r="P17" s="205"/>
      <c r="Q17" s="210"/>
      <c r="R17" s="100">
        <v>2</v>
      </c>
      <c r="S17" s="148" t="s">
        <v>240</v>
      </c>
      <c r="T17" s="102" t="str">
        <f t="shared" ref="T17:T103" si="27">IF(OR(U17="Preventivo",U17="Detectivo"),"Probabilidad",IF(U17="Correctivo","Impacto",""))</f>
        <v>Probabilidad</v>
      </c>
      <c r="U17" s="103" t="s">
        <v>14</v>
      </c>
      <c r="V17" s="103" t="s">
        <v>9</v>
      </c>
      <c r="W17" s="104" t="str">
        <f t="shared" ref="W17:W103" si="28">IF(AND(U17="Preventivo",V17="Automático"),"50%",IF(AND(U17="Preventivo",V17="Manual"),"40%",IF(AND(U17="Detectivo",V17="Automático"),"40%",IF(AND(U17="Detectivo",V17="Manual"),"30%",IF(AND(U17="Correctivo",V17="Automático"),"35%",IF(AND(U17="Correctivo",V17="Manual"),"25%",""))))))</f>
        <v>40%</v>
      </c>
      <c r="X17" s="103" t="s">
        <v>19</v>
      </c>
      <c r="Y17" s="103" t="s">
        <v>22</v>
      </c>
      <c r="Z17" s="103" t="s">
        <v>113</v>
      </c>
      <c r="AA17" s="105">
        <f>IFERROR(IF(T17="Probabilidad",(L16-(+L16*W17)),IF(T17="Impacto",L16,"")),"")</f>
        <v>0.36</v>
      </c>
      <c r="AB17" s="106" t="str">
        <f t="shared" ref="AB17:AB103" si="29">IFERROR(IF(AA17="","",IF(AA17&lt;=0.2,"Muy Baja",IF(AA17&lt;=0.4,"Baja",IF(AA17&lt;=0.6,"Media",IF(AA17&lt;=0.8,"Alta","Muy Alta"))))),"")</f>
        <v>Baja</v>
      </c>
      <c r="AC17" s="107">
        <f t="shared" ref="AC17:AC103" si="30">+AA17</f>
        <v>0.36</v>
      </c>
      <c r="AD17" s="106" t="str">
        <f t="shared" ref="AD17:AD103" si="31">IFERROR(IF(AE17="","",IF(AE17&lt;=0.2,"Leve",IF(AE17&lt;=0.4,"Menor",IF(AE17&lt;=0.6,"Moderado",IF(AE17&lt;=0.8,"Mayor","Catastrófico"))))),"")</f>
        <v>Leve</v>
      </c>
      <c r="AE17" s="107">
        <f>IFERROR(IF(T17="Impacto",(P16-(+P16*W17)),IF(T17="Probabilidad",P16,"")),"")</f>
        <v>0.2</v>
      </c>
      <c r="AF17" s="108" t="str">
        <f t="shared" ref="AF17:AF103" si="32">IFERROR(IF(OR(AND(AB17="Muy Baja",AD17="Leve"),AND(AB17="Muy Baja",AD17="Menor"),AND(AB17="Baja",AD17="Leve")),"Bajo",IF(OR(AND(AB17="Muy baja",AD17="Moderado"),AND(AB17="Baja",AD17="Menor"),AND(AB17="Baja",AD17="Moderado"),AND(AB17="Media",AD17="Leve"),AND(AB17="Media",AD17="Menor"),AND(AB17="Media",AD17="Moderado"),AND(AB17="Alta",AD17="Leve"),AND(AB17="Alta",AD17="Menor")),"Moderado",IF(OR(AND(AB17="Muy Baja",AD17="Mayor"),AND(AB17="Baja",AD17="Mayor"),AND(AB17="Media",AD17="Mayor"),AND(AB17="Alta",AD17="Moderado"),AND(AB17="Alta",AD17="Mayor"),AND(AB17="Muy Alta",AD17="Leve"),AND(AB17="Muy Alta",AD17="Menor"),AND(AB17="Muy Alta",AD17="Moderado"),AND(AB17="Muy Alta",AD17="Mayor")),"Alto",IF(OR(AND(AB17="Muy Baja",AD17="Catastrófico"),AND(AB17="Baja",AD17="Catastrófico"),AND(AB17="Media",AD17="Catastrófico"),AND(AB17="Alta",AD17="Catastrófico"),AND(AB17="Muy Alta",AD17="Catastrófico")),"Extremo","")))),"")</f>
        <v>Bajo</v>
      </c>
      <c r="AG17" s="109" t="s">
        <v>129</v>
      </c>
      <c r="AH17" s="148"/>
      <c r="AI17" s="111"/>
      <c r="AJ17" s="112"/>
      <c r="AK17" s="112"/>
      <c r="AL17" s="148"/>
      <c r="AM17" s="111"/>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row>
    <row r="18" spans="1:71" ht="151.5" customHeight="1" x14ac:dyDescent="0.25">
      <c r="A18" s="212"/>
      <c r="B18" s="215"/>
      <c r="C18" s="227"/>
      <c r="D18" s="227"/>
      <c r="E18" s="218"/>
      <c r="F18" s="218"/>
      <c r="G18" s="218"/>
      <c r="H18" s="220"/>
      <c r="I18" s="218"/>
      <c r="J18" s="222"/>
      <c r="K18" s="203"/>
      <c r="L18" s="206"/>
      <c r="M18" s="208"/>
      <c r="N18" s="150"/>
      <c r="O18" s="203"/>
      <c r="P18" s="206"/>
      <c r="Q18" s="211"/>
      <c r="R18" s="100">
        <v>3</v>
      </c>
      <c r="S18" s="101"/>
      <c r="T18" s="102" t="str">
        <f t="shared" si="27"/>
        <v>Probabilidad</v>
      </c>
      <c r="U18" s="103" t="s">
        <v>15</v>
      </c>
      <c r="V18" s="103" t="s">
        <v>9</v>
      </c>
      <c r="W18" s="104" t="str">
        <f t="shared" si="28"/>
        <v>30%</v>
      </c>
      <c r="X18" s="103" t="s">
        <v>20</v>
      </c>
      <c r="Y18" s="103" t="s">
        <v>23</v>
      </c>
      <c r="Z18" s="103" t="s">
        <v>114</v>
      </c>
      <c r="AA18" s="105">
        <f>IFERROR(IF(T18="Probabilidad",(L16-(+L16*W18)),IF(T18="Impacto",L16,"")),"")</f>
        <v>0.42</v>
      </c>
      <c r="AB18" s="106" t="str">
        <f t="shared" si="29"/>
        <v>Media</v>
      </c>
      <c r="AC18" s="107">
        <f t="shared" si="30"/>
        <v>0.42</v>
      </c>
      <c r="AD18" s="106" t="str">
        <f t="shared" si="31"/>
        <v>Leve</v>
      </c>
      <c r="AE18" s="107">
        <f>IFERROR(IF(T18="Impacto",(P16-(+P16*W18)),IF(T18="Probabilidad",P16,"")),"")</f>
        <v>0.2</v>
      </c>
      <c r="AF18" s="108" t="str">
        <f t="shared" si="32"/>
        <v>Moderado</v>
      </c>
      <c r="AG18" s="109"/>
      <c r="AH18" s="148"/>
      <c r="AI18" s="111"/>
      <c r="AJ18" s="112"/>
      <c r="AK18" s="112"/>
      <c r="AL18" s="148"/>
      <c r="AM18" s="111"/>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1" ht="151.5" customHeight="1" x14ac:dyDescent="0.25">
      <c r="A19" s="212">
        <v>5</v>
      </c>
      <c r="B19" s="213" t="s">
        <v>502</v>
      </c>
      <c r="C19" s="223" t="s">
        <v>545</v>
      </c>
      <c r="D19" s="223" t="s">
        <v>235</v>
      </c>
      <c r="E19" s="217" t="s">
        <v>125</v>
      </c>
      <c r="F19" s="225" t="s">
        <v>245</v>
      </c>
      <c r="G19" s="225" t="s">
        <v>246</v>
      </c>
      <c r="H19" s="219" t="s">
        <v>244</v>
      </c>
      <c r="I19" s="217" t="s">
        <v>462</v>
      </c>
      <c r="J19" s="221">
        <v>480</v>
      </c>
      <c r="K19" s="201" t="str">
        <f>IF(J19&lt;=0,"",IF(J19&lt;=2,"Muy Baja",IF(J19&lt;=24,"Baja",IF(J19&lt;=500,"Media",IF(J19&lt;=5000,"Alta","Muy Alta")))))</f>
        <v>Media</v>
      </c>
      <c r="L19" s="204">
        <f>IF(K19="","",IF(K19="Muy Baja",0.2,IF(K19="Baja",0.4,IF(K19="Media",0.6,IF(K19="Alta",0.8,IF(K19="Muy Alta",1,))))))</f>
        <v>0.6</v>
      </c>
      <c r="M19" s="207" t="s">
        <v>144</v>
      </c>
      <c r="N19" s="149" t="str">
        <f>IF(NOT(ISERROR(MATCH(M19,'Tabla Impacto'!$B$221:$B$223,0))),'Tabla Impacto'!$F$223&amp;"Por favor no seleccionar los criterios de impacto(Afectación Económica o presupuestal y Pérdida Reputacional)",M19)</f>
        <v xml:space="preserve">     El riesgo afecta la imagen de alguna área de la organización</v>
      </c>
      <c r="O19" s="201" t="str">
        <f>IF(OR(N19='Tabla Impacto'!$C$11,N19='Tabla Impacto'!$D$11),"Leve",IF(OR(N19='Tabla Impacto'!$C$12,N19='Tabla Impacto'!$D$12),"Menor",IF(OR(N19='Tabla Impacto'!$C$13,N19='Tabla Impacto'!$D$13),"Moderado",IF(OR(N19='Tabla Impacto'!$C$14,N19='Tabla Impacto'!$D$14),"Mayor",IF(OR(N19='Tabla Impacto'!$C$15,N19='Tabla Impacto'!$D$15),"Catastrófico","")))))</f>
        <v>Leve</v>
      </c>
      <c r="P19" s="204">
        <f>IF(O19="","",IF(O19="Leve",0.2,IF(O19="Menor",0.4,IF(O19="Moderado",0.6,IF(O19="Mayor",0.8,IF(O19="Catastrófico",1,))))))</f>
        <v>0.2</v>
      </c>
      <c r="Q19" s="209" t="str">
        <f>IF(OR(AND(K19="Muy Baja",O19="Leve"),AND(K19="Muy Baja",O19="Menor"),AND(K19="Baja",O19="Leve")),"Bajo",IF(OR(AND(K19="Muy baja",O19="Moderado"),AND(K19="Baja",O19="Menor"),AND(K19="Baja",O19="Moderado"),AND(K19="Media",O19="Leve"),AND(K19="Media",O19="Menor"),AND(K19="Media",O19="Moderado"),AND(K19="Alta",O19="Leve"),AND(K19="Alta",O19="Menor")),"Moderado",IF(OR(AND(K19="Muy Baja",O19="Mayor"),AND(K19="Baja",O19="Mayor"),AND(K19="Media",O19="Mayor"),AND(K19="Alta",O19="Moderado"),AND(K19="Alta",O19="Mayor"),AND(K19="Muy Alta",O19="Leve"),AND(K19="Muy Alta",O19="Menor"),AND(K19="Muy Alta",O19="Moderado"),AND(K19="Muy Alta",O19="Mayor")),"Alto",IF(OR(AND(K19="Muy Baja",O19="Catastrófico"),AND(K19="Baja",O19="Catastrófico"),AND(K19="Media",O19="Catastrófico"),AND(K19="Alta",O19="Catastrófico"),AND(K19="Muy Alta",O19="Catastrófico")),"Extremo",""))))</f>
        <v>Moderado</v>
      </c>
      <c r="R19" s="100">
        <v>1</v>
      </c>
      <c r="S19" s="101" t="s">
        <v>247</v>
      </c>
      <c r="T19" s="102" t="str">
        <f t="shared" si="27"/>
        <v>Probabilidad</v>
      </c>
      <c r="U19" s="103" t="s">
        <v>15</v>
      </c>
      <c r="V19" s="103" t="s">
        <v>9</v>
      </c>
      <c r="W19" s="104" t="str">
        <f t="shared" si="28"/>
        <v>30%</v>
      </c>
      <c r="X19" s="103" t="s">
        <v>19</v>
      </c>
      <c r="Y19" s="103" t="s">
        <v>22</v>
      </c>
      <c r="Z19" s="103" t="s">
        <v>113</v>
      </c>
      <c r="AA19" s="105">
        <f t="shared" ref="AA19:AA103" si="33">IFERROR(IF(T19="Probabilidad",(L19-(+L19*W19)),IF(T19="Impacto",L19,"")),"")</f>
        <v>0.42</v>
      </c>
      <c r="AB19" s="106" t="str">
        <f t="shared" si="29"/>
        <v>Media</v>
      </c>
      <c r="AC19" s="107">
        <f t="shared" si="30"/>
        <v>0.42</v>
      </c>
      <c r="AD19" s="106" t="str">
        <f t="shared" si="31"/>
        <v>Leve</v>
      </c>
      <c r="AE19" s="107">
        <f t="shared" ref="AE19:AE103" si="34">IFERROR(IF(T19="Impacto",(P19-(+P19*W19)),IF(T19="Probabilidad",P19,"")),"")</f>
        <v>0.2</v>
      </c>
      <c r="AF19" s="108" t="str">
        <f t="shared" si="32"/>
        <v>Moderado</v>
      </c>
      <c r="AG19" s="109" t="s">
        <v>129</v>
      </c>
      <c r="AH19" s="148" t="s">
        <v>241</v>
      </c>
      <c r="AI19" s="133" t="s">
        <v>242</v>
      </c>
      <c r="AJ19" s="112" t="s">
        <v>225</v>
      </c>
      <c r="AK19" s="112" t="s">
        <v>225</v>
      </c>
      <c r="AL19" s="144" t="s">
        <v>243</v>
      </c>
      <c r="AM19" s="111"/>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row>
    <row r="20" spans="1:71" ht="151.5" customHeight="1" x14ac:dyDescent="0.25">
      <c r="A20" s="212"/>
      <c r="B20" s="214"/>
      <c r="C20" s="227"/>
      <c r="D20" s="227"/>
      <c r="E20" s="218"/>
      <c r="F20" s="218"/>
      <c r="G20" s="218"/>
      <c r="H20" s="220"/>
      <c r="I20" s="218"/>
      <c r="J20" s="222"/>
      <c r="K20" s="202"/>
      <c r="L20" s="205"/>
      <c r="M20" s="208"/>
      <c r="N20" s="150"/>
      <c r="O20" s="202"/>
      <c r="P20" s="205"/>
      <c r="Q20" s="210"/>
      <c r="R20" s="100">
        <v>2</v>
      </c>
      <c r="S20" s="101"/>
      <c r="T20" s="102" t="str">
        <f t="shared" ref="T20:T21" si="35">IF(OR(U20="Preventivo",U20="Detectivo"),"Probabilidad",IF(U20="Correctivo","Impacto",""))</f>
        <v>Probabilidad</v>
      </c>
      <c r="U20" s="103" t="s">
        <v>15</v>
      </c>
      <c r="V20" s="103" t="s">
        <v>9</v>
      </c>
      <c r="W20" s="104" t="str">
        <f t="shared" ref="W20:W21" si="36">IF(AND(U20="Preventivo",V20="Automático"),"50%",IF(AND(U20="Preventivo",V20="Manual"),"40%",IF(AND(U20="Detectivo",V20="Automático"),"40%",IF(AND(U20="Detectivo",V20="Manual"),"30%",IF(AND(U20="Correctivo",V20="Automático"),"35%",IF(AND(U20="Correctivo",V20="Manual"),"25%",""))))))</f>
        <v>30%</v>
      </c>
      <c r="X20" s="103" t="s">
        <v>20</v>
      </c>
      <c r="Y20" s="103" t="s">
        <v>23</v>
      </c>
      <c r="Z20" s="103" t="s">
        <v>114</v>
      </c>
      <c r="AA20" s="105">
        <f t="shared" ref="AA20:AA21" si="37">IFERROR(IF(T20="Probabilidad",(L20-(+L20*W20)),IF(T20="Impacto",L20,"")),"")</f>
        <v>0</v>
      </c>
      <c r="AB20" s="106" t="str">
        <f t="shared" ref="AB20:AB21" si="38">IFERROR(IF(AA20="","",IF(AA20&lt;=0.2,"Muy Baja",IF(AA20&lt;=0.4,"Baja",IF(AA20&lt;=0.6,"Media",IF(AA20&lt;=0.8,"Alta","Muy Alta"))))),"")</f>
        <v>Muy Baja</v>
      </c>
      <c r="AC20" s="107">
        <f t="shared" ref="AC20:AC21" si="39">+AA20</f>
        <v>0</v>
      </c>
      <c r="AD20" s="106" t="str">
        <f t="shared" ref="AD20:AD21" si="40">IFERROR(IF(AE20="","",IF(AE20&lt;=0.2,"Leve",IF(AE20&lt;=0.4,"Menor",IF(AE20&lt;=0.6,"Moderado",IF(AE20&lt;=0.8,"Mayor","Catastrófico"))))),"")</f>
        <v>Leve</v>
      </c>
      <c r="AE20" s="107">
        <f t="shared" ref="AE20:AE21" si="41">IFERROR(IF(T20="Impacto",(P20-(+P20*W20)),IF(T20="Probabilidad",P20,"")),"")</f>
        <v>0</v>
      </c>
      <c r="AF20" s="108" t="str">
        <f t="shared" ref="AF20:AF21" si="42">IFERROR(IF(OR(AND(AB20="Muy Baja",AD20="Leve"),AND(AB20="Muy Baja",AD20="Menor"),AND(AB20="Baja",AD20="Leve")),"Bajo",IF(OR(AND(AB20="Muy baja",AD20="Moderado"),AND(AB20="Baja",AD20="Menor"),AND(AB20="Baja",AD20="Moderado"),AND(AB20="Media",AD20="Leve"),AND(AB20="Media",AD20="Menor"),AND(AB20="Media",AD20="Moderado"),AND(AB20="Alta",AD20="Leve"),AND(AB20="Alta",AD20="Menor")),"Moderado",IF(OR(AND(AB20="Muy Baja",AD20="Mayor"),AND(AB20="Baja",AD20="Mayor"),AND(AB20="Media",AD20="Mayor"),AND(AB20="Alta",AD20="Moderado"),AND(AB20="Alta",AD20="Mayor"),AND(AB20="Muy Alta",AD20="Leve"),AND(AB20="Muy Alta",AD20="Menor"),AND(AB20="Muy Alta",AD20="Moderado"),AND(AB20="Muy Alta",AD20="Mayor")),"Alto",IF(OR(AND(AB20="Muy Baja",AD20="Catastrófico"),AND(AB20="Baja",AD20="Catastrófico"),AND(AB20="Media",AD20="Catastrófico"),AND(AB20="Alta",AD20="Catastrófico"),AND(AB20="Muy Alta",AD20="Catastrófico")),"Extremo","")))),"")</f>
        <v>Bajo</v>
      </c>
      <c r="AG20" s="109"/>
      <c r="AH20" s="148"/>
      <c r="AI20" s="111"/>
      <c r="AJ20" s="112"/>
      <c r="AK20" s="112"/>
      <c r="AL20" s="148"/>
      <c r="AM20" s="111"/>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row>
    <row r="21" spans="1:71" ht="151.5" customHeight="1" x14ac:dyDescent="0.25">
      <c r="A21" s="212"/>
      <c r="B21" s="215"/>
      <c r="C21" s="227"/>
      <c r="D21" s="227"/>
      <c r="E21" s="218"/>
      <c r="F21" s="218"/>
      <c r="G21" s="218"/>
      <c r="H21" s="220"/>
      <c r="I21" s="218"/>
      <c r="J21" s="222"/>
      <c r="K21" s="203"/>
      <c r="L21" s="206"/>
      <c r="M21" s="208"/>
      <c r="N21" s="150"/>
      <c r="O21" s="203"/>
      <c r="P21" s="206"/>
      <c r="Q21" s="211"/>
      <c r="R21" s="100">
        <v>3</v>
      </c>
      <c r="S21" s="101"/>
      <c r="T21" s="102" t="str">
        <f t="shared" si="35"/>
        <v>Probabilidad</v>
      </c>
      <c r="U21" s="103" t="s">
        <v>15</v>
      </c>
      <c r="V21" s="103" t="s">
        <v>9</v>
      </c>
      <c r="W21" s="104" t="str">
        <f t="shared" si="36"/>
        <v>30%</v>
      </c>
      <c r="X21" s="103" t="s">
        <v>20</v>
      </c>
      <c r="Y21" s="103" t="s">
        <v>23</v>
      </c>
      <c r="Z21" s="103" t="s">
        <v>114</v>
      </c>
      <c r="AA21" s="105">
        <f t="shared" si="37"/>
        <v>0</v>
      </c>
      <c r="AB21" s="106" t="str">
        <f t="shared" si="38"/>
        <v>Muy Baja</v>
      </c>
      <c r="AC21" s="107">
        <f t="shared" si="39"/>
        <v>0</v>
      </c>
      <c r="AD21" s="106" t="str">
        <f t="shared" si="40"/>
        <v>Leve</v>
      </c>
      <c r="AE21" s="107">
        <f t="shared" si="41"/>
        <v>0</v>
      </c>
      <c r="AF21" s="108" t="str">
        <f t="shared" si="42"/>
        <v>Bajo</v>
      </c>
      <c r="AG21" s="109"/>
      <c r="AH21" s="148"/>
      <c r="AI21" s="111"/>
      <c r="AJ21" s="112"/>
      <c r="AK21" s="112"/>
      <c r="AL21" s="148"/>
      <c r="AM21" s="111"/>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row>
    <row r="22" spans="1:71" ht="151.5" customHeight="1" x14ac:dyDescent="0.25">
      <c r="A22" s="212">
        <v>6</v>
      </c>
      <c r="B22" s="213" t="s">
        <v>248</v>
      </c>
      <c r="C22" s="223" t="s">
        <v>249</v>
      </c>
      <c r="D22" s="223" t="s">
        <v>250</v>
      </c>
      <c r="E22" s="217" t="s">
        <v>125</v>
      </c>
      <c r="F22" s="217" t="s">
        <v>251</v>
      </c>
      <c r="G22" s="217" t="s">
        <v>252</v>
      </c>
      <c r="H22" s="219" t="s">
        <v>253</v>
      </c>
      <c r="I22" s="217" t="s">
        <v>119</v>
      </c>
      <c r="J22" s="221">
        <v>1</v>
      </c>
      <c r="K22" s="201" t="str">
        <f>IF(J22&lt;=0,"",IF(J22&lt;=2,"Muy Baja",IF(J22&lt;=24,"Baja",IF(J22&lt;=500,"Media",IF(J22&lt;=5000,"Alta","Muy Alta")))))</f>
        <v>Muy Baja</v>
      </c>
      <c r="L22" s="204">
        <f>IF(K22="","",IF(K22="Muy Baja",0.2,IF(K22="Baja",0.4,IF(K22="Media",0.6,IF(K22="Alta",0.8,IF(K22="Muy Alta",1,))))))</f>
        <v>0.2</v>
      </c>
      <c r="M22" s="207" t="s">
        <v>146</v>
      </c>
      <c r="N22" s="149" t="str">
        <f>IF(NOT(ISERROR(MATCH(M22,'Tabla Impacto'!$B$221:$B$223,0))),'Tabla Impacto'!$F$223&amp;"Por favor no seleccionar los criterios de impacto(Afectación Económica o presupuestal y Pérdida Reputacional)",M22)</f>
        <v xml:space="preserve">     El riesgo afecta la imagen de la entidad con algunos usuarios de relevancia frente al logro de los objetivos</v>
      </c>
      <c r="O22" s="201" t="str">
        <f>IF(OR(N22='Tabla Impacto'!$C$11,N22='Tabla Impacto'!$D$11),"Leve",IF(OR(N22='Tabla Impacto'!$C$12,N22='Tabla Impacto'!$D$12),"Menor",IF(OR(N22='Tabla Impacto'!$C$13,N22='Tabla Impacto'!$D$13),"Moderado",IF(OR(N22='Tabla Impacto'!$C$14,N22='Tabla Impacto'!$D$14),"Mayor",IF(OR(N22='Tabla Impacto'!$C$15,N22='Tabla Impacto'!$D$15),"Catastrófico","")))))</f>
        <v>Moderado</v>
      </c>
      <c r="P22" s="204">
        <f>IF(O22="","",IF(O22="Leve",0.2,IF(O22="Menor",0.4,IF(O22="Moderado",0.6,IF(O22="Mayor",0.8,IF(O22="Catastrófico",1,))))))</f>
        <v>0.6</v>
      </c>
      <c r="Q22" s="209" t="str">
        <f>IF(OR(AND(K22="Muy Baja",O22="Leve"),AND(K22="Muy Baja",O22="Menor"),AND(K22="Baja",O22="Leve")),"Bajo",IF(OR(AND(K22="Muy baja",O22="Moderado"),AND(K22="Baja",O22="Menor"),AND(K22="Baja",O22="Moderado"),AND(K22="Media",O22="Leve"),AND(K22="Media",O22="Menor"),AND(K22="Media",O22="Moderado"),AND(K22="Alta",O22="Leve"),AND(K22="Alta",O22="Menor")),"Moderado",IF(OR(AND(K22="Muy Baja",O22="Mayor"),AND(K22="Baja",O22="Mayor"),AND(K22="Media",O22="Mayor"),AND(K22="Alta",O22="Moderado"),AND(K22="Alta",O22="Mayor"),AND(K22="Muy Alta",O22="Leve"),AND(K22="Muy Alta",O22="Menor"),AND(K22="Muy Alta",O22="Moderado"),AND(K22="Muy Alta",O22="Mayor")),"Alto",IF(OR(AND(K22="Muy Baja",O22="Catastrófico"),AND(K22="Baja",O22="Catastrófico"),AND(K22="Media",O22="Catastrófico"),AND(K22="Alta",O22="Catastrófico"),AND(K22="Muy Alta",O22="Catastrófico")),"Extremo",""))))</f>
        <v>Moderado</v>
      </c>
      <c r="R22" s="100">
        <v>1</v>
      </c>
      <c r="S22" s="101" t="s">
        <v>254</v>
      </c>
      <c r="T22" s="102" t="str">
        <f t="shared" si="27"/>
        <v>Probabilidad</v>
      </c>
      <c r="U22" s="103" t="s">
        <v>14</v>
      </c>
      <c r="V22" s="103" t="s">
        <v>9</v>
      </c>
      <c r="W22" s="104" t="str">
        <f t="shared" si="28"/>
        <v>40%</v>
      </c>
      <c r="X22" s="103" t="s">
        <v>19</v>
      </c>
      <c r="Y22" s="103" t="s">
        <v>22</v>
      </c>
      <c r="Z22" s="103" t="s">
        <v>113</v>
      </c>
      <c r="AA22" s="105">
        <f t="shared" si="33"/>
        <v>0.12</v>
      </c>
      <c r="AB22" s="106" t="str">
        <f t="shared" si="29"/>
        <v>Muy Baja</v>
      </c>
      <c r="AC22" s="107">
        <f t="shared" si="30"/>
        <v>0.12</v>
      </c>
      <c r="AD22" s="106" t="str">
        <f t="shared" si="31"/>
        <v>Moderado</v>
      </c>
      <c r="AE22" s="107">
        <f t="shared" si="34"/>
        <v>0.6</v>
      </c>
      <c r="AF22" s="108" t="str">
        <f t="shared" si="32"/>
        <v>Moderado</v>
      </c>
      <c r="AG22" s="109"/>
      <c r="AH22" s="135" t="s">
        <v>255</v>
      </c>
      <c r="AI22" s="136" t="s">
        <v>256</v>
      </c>
      <c r="AJ22" s="137">
        <v>44378</v>
      </c>
      <c r="AK22" s="137">
        <v>44561</v>
      </c>
      <c r="AL22" s="101" t="s">
        <v>257</v>
      </c>
      <c r="AM22" s="111"/>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row>
    <row r="23" spans="1:71" ht="151.5" customHeight="1" x14ac:dyDescent="0.25">
      <c r="A23" s="212"/>
      <c r="B23" s="214"/>
      <c r="C23" s="224"/>
      <c r="D23" s="227"/>
      <c r="E23" s="218"/>
      <c r="F23" s="218"/>
      <c r="G23" s="218"/>
      <c r="H23" s="220"/>
      <c r="I23" s="218"/>
      <c r="J23" s="222"/>
      <c r="K23" s="202"/>
      <c r="L23" s="205"/>
      <c r="M23" s="208"/>
      <c r="N23" s="150"/>
      <c r="O23" s="202"/>
      <c r="P23" s="205"/>
      <c r="Q23" s="210"/>
      <c r="R23" s="100">
        <v>2</v>
      </c>
      <c r="S23" s="101"/>
      <c r="T23" s="102" t="str">
        <f t="shared" ref="T23:T24" si="43">IF(OR(U23="Preventivo",U23="Detectivo"),"Probabilidad",IF(U23="Correctivo","Impacto",""))</f>
        <v>Probabilidad</v>
      </c>
      <c r="U23" s="103" t="s">
        <v>15</v>
      </c>
      <c r="V23" s="103" t="s">
        <v>9</v>
      </c>
      <c r="W23" s="104" t="str">
        <f t="shared" ref="W23:W24" si="44">IF(AND(U23="Preventivo",V23="Automático"),"50%",IF(AND(U23="Preventivo",V23="Manual"),"40%",IF(AND(U23="Detectivo",V23="Automático"),"40%",IF(AND(U23="Detectivo",V23="Manual"),"30%",IF(AND(U23="Correctivo",V23="Automático"),"35%",IF(AND(U23="Correctivo",V23="Manual"),"25%",""))))))</f>
        <v>30%</v>
      </c>
      <c r="X23" s="103" t="s">
        <v>20</v>
      </c>
      <c r="Y23" s="103" t="s">
        <v>23</v>
      </c>
      <c r="Z23" s="103" t="s">
        <v>114</v>
      </c>
      <c r="AA23" s="105">
        <f t="shared" ref="AA23:AA24" si="45">IFERROR(IF(T23="Probabilidad",(L23-(+L23*W23)),IF(T23="Impacto",L23,"")),"")</f>
        <v>0</v>
      </c>
      <c r="AB23" s="106" t="str">
        <f t="shared" ref="AB23:AB24" si="46">IFERROR(IF(AA23="","",IF(AA23&lt;=0.2,"Muy Baja",IF(AA23&lt;=0.4,"Baja",IF(AA23&lt;=0.6,"Media",IF(AA23&lt;=0.8,"Alta","Muy Alta"))))),"")</f>
        <v>Muy Baja</v>
      </c>
      <c r="AC23" s="107">
        <f t="shared" ref="AC23:AC24" si="47">+AA23</f>
        <v>0</v>
      </c>
      <c r="AD23" s="106" t="str">
        <f t="shared" ref="AD23:AD24" si="48">IFERROR(IF(AE23="","",IF(AE23&lt;=0.2,"Leve",IF(AE23&lt;=0.4,"Menor",IF(AE23&lt;=0.6,"Moderado",IF(AE23&lt;=0.8,"Mayor","Catastrófico"))))),"")</f>
        <v>Leve</v>
      </c>
      <c r="AE23" s="107">
        <f t="shared" ref="AE23:AE24" si="49">IFERROR(IF(T23="Impacto",(P23-(+P23*W23)),IF(T23="Probabilidad",P23,"")),"")</f>
        <v>0</v>
      </c>
      <c r="AF23" s="108" t="str">
        <f t="shared" ref="AF23:AF24" si="50">IFERROR(IF(OR(AND(AB23="Muy Baja",AD23="Leve"),AND(AB23="Muy Baja",AD23="Menor"),AND(AB23="Baja",AD23="Leve")),"Bajo",IF(OR(AND(AB23="Muy baja",AD23="Moderado"),AND(AB23="Baja",AD23="Menor"),AND(AB23="Baja",AD23="Moderado"),AND(AB23="Media",AD23="Leve"),AND(AB23="Media",AD23="Menor"),AND(AB23="Media",AD23="Moderado"),AND(AB23="Alta",AD23="Leve"),AND(AB23="Alta",AD23="Menor")),"Moderado",IF(OR(AND(AB23="Muy Baja",AD23="Mayor"),AND(AB23="Baja",AD23="Mayor"),AND(AB23="Media",AD23="Mayor"),AND(AB23="Alta",AD23="Moderado"),AND(AB23="Alta",AD23="Mayor"),AND(AB23="Muy Alta",AD23="Leve"),AND(AB23="Muy Alta",AD23="Menor"),AND(AB23="Muy Alta",AD23="Moderado"),AND(AB23="Muy Alta",AD23="Mayor")),"Alto",IF(OR(AND(AB23="Muy Baja",AD23="Catastrófico"),AND(AB23="Baja",AD23="Catastrófico"),AND(AB23="Media",AD23="Catastrófico"),AND(AB23="Alta",AD23="Catastrófico"),AND(AB23="Muy Alta",AD23="Catastrófico")),"Extremo","")))),"")</f>
        <v>Bajo</v>
      </c>
      <c r="AG23" s="109"/>
      <c r="AH23" s="148"/>
      <c r="AI23" s="111"/>
      <c r="AJ23" s="112"/>
      <c r="AK23" s="112"/>
      <c r="AL23" s="148"/>
      <c r="AM23" s="111"/>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row>
    <row r="24" spans="1:71" ht="151.5" customHeight="1" x14ac:dyDescent="0.25">
      <c r="A24" s="231"/>
      <c r="B24" s="215"/>
      <c r="C24" s="224"/>
      <c r="D24" s="227"/>
      <c r="E24" s="218"/>
      <c r="F24" s="218"/>
      <c r="G24" s="218"/>
      <c r="H24" s="220"/>
      <c r="I24" s="218"/>
      <c r="J24" s="222"/>
      <c r="K24" s="203"/>
      <c r="L24" s="206"/>
      <c r="M24" s="208"/>
      <c r="N24" s="150"/>
      <c r="O24" s="203"/>
      <c r="P24" s="206"/>
      <c r="Q24" s="211"/>
      <c r="R24" s="100">
        <v>3</v>
      </c>
      <c r="S24" s="101"/>
      <c r="T24" s="102" t="str">
        <f t="shared" si="43"/>
        <v>Probabilidad</v>
      </c>
      <c r="U24" s="103" t="s">
        <v>15</v>
      </c>
      <c r="V24" s="103" t="s">
        <v>9</v>
      </c>
      <c r="W24" s="104" t="str">
        <f t="shared" si="44"/>
        <v>30%</v>
      </c>
      <c r="X24" s="103" t="s">
        <v>20</v>
      </c>
      <c r="Y24" s="103" t="s">
        <v>23</v>
      </c>
      <c r="Z24" s="103" t="s">
        <v>114</v>
      </c>
      <c r="AA24" s="105">
        <f t="shared" si="45"/>
        <v>0</v>
      </c>
      <c r="AB24" s="106" t="str">
        <f t="shared" si="46"/>
        <v>Muy Baja</v>
      </c>
      <c r="AC24" s="107">
        <f t="shared" si="47"/>
        <v>0</v>
      </c>
      <c r="AD24" s="106" t="str">
        <f t="shared" si="48"/>
        <v>Leve</v>
      </c>
      <c r="AE24" s="107">
        <f t="shared" si="49"/>
        <v>0</v>
      </c>
      <c r="AF24" s="108" t="str">
        <f t="shared" si="50"/>
        <v>Bajo</v>
      </c>
      <c r="AG24" s="109"/>
      <c r="AH24" s="148"/>
      <c r="AI24" s="111"/>
      <c r="AJ24" s="112"/>
      <c r="AK24" s="112"/>
      <c r="AL24" s="148"/>
      <c r="AM24" s="111"/>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row>
    <row r="25" spans="1:71" ht="151.5" customHeight="1" x14ac:dyDescent="0.25">
      <c r="A25" s="216">
        <v>7</v>
      </c>
      <c r="B25" s="213" t="s">
        <v>248</v>
      </c>
      <c r="C25" s="223" t="s">
        <v>249</v>
      </c>
      <c r="D25" s="223" t="s">
        <v>250</v>
      </c>
      <c r="E25" s="217" t="s">
        <v>126</v>
      </c>
      <c r="F25" s="225" t="s">
        <v>258</v>
      </c>
      <c r="G25" s="217" t="s">
        <v>259</v>
      </c>
      <c r="H25" s="219" t="s">
        <v>504</v>
      </c>
      <c r="I25" s="217" t="s">
        <v>462</v>
      </c>
      <c r="J25" s="221">
        <v>1</v>
      </c>
      <c r="K25" s="201" t="str">
        <f>IF(J25&lt;=0,"",IF(J25&lt;=2,"Muy Baja",IF(J25&lt;=24,"Baja",IF(J25&lt;=500,"Media",IF(J25&lt;=5000,"Alta","Muy Alta")))))</f>
        <v>Muy Baja</v>
      </c>
      <c r="L25" s="204">
        <f>IF(K25="","",IF(K25="Muy Baja",0.2,IF(K25="Baja",0.4,IF(K25="Media",0.6,IF(K25="Alta",0.8,IF(K25="Muy Alta",1,))))))</f>
        <v>0.2</v>
      </c>
      <c r="M25" s="207" t="s">
        <v>140</v>
      </c>
      <c r="N25" s="149" t="str">
        <f>IF(NOT(ISERROR(MATCH(M25,'Tabla Impacto'!$B$221:$B$223,0))),'Tabla Impacto'!$F$223&amp;"Por favor no seleccionar los criterios de impacto(Afectación Económica o presupuestal y Pérdida Reputacional)",M25)</f>
        <v xml:space="preserve">     Entre 50 y 100 SMLMV </v>
      </c>
      <c r="O25" s="201" t="str">
        <f>IF(OR(N25='Tabla Impacto'!$C$11,N25='Tabla Impacto'!$D$11),"Leve",IF(OR(N25='Tabla Impacto'!$C$12,N25='Tabla Impacto'!$D$12),"Menor",IF(OR(N25='Tabla Impacto'!$C$13,N25='Tabla Impacto'!$D$13),"Moderado",IF(OR(N25='Tabla Impacto'!$C$14,N25='Tabla Impacto'!$D$14),"Mayor",IF(OR(N25='Tabla Impacto'!$C$15,N25='Tabla Impacto'!$D$15),"Catastrófico","")))))</f>
        <v>Moderado</v>
      </c>
      <c r="P25" s="204">
        <f>IF(O25="","",IF(O25="Leve",0.2,IF(O25="Menor",0.4,IF(O25="Moderado",0.6,IF(O25="Mayor",0.8,IF(O25="Catastrófico",1,))))))</f>
        <v>0.6</v>
      </c>
      <c r="Q25" s="209" t="str">
        <f>IF(OR(AND(K25="Muy Baja",O25="Leve"),AND(K25="Muy Baja",O25="Menor"),AND(K25="Baja",O25="Leve")),"Bajo",IF(OR(AND(K25="Muy baja",O25="Moderado"),AND(K25="Baja",O25="Menor"),AND(K25="Baja",O25="Moderado"),AND(K25="Media",O25="Leve"),AND(K25="Media",O25="Menor"),AND(K25="Media",O25="Moderado"),AND(K25="Alta",O25="Leve"),AND(K25="Alta",O25="Menor")),"Moderado",IF(OR(AND(K25="Muy Baja",O25="Mayor"),AND(K25="Baja",O25="Mayor"),AND(K25="Media",O25="Mayor"),AND(K25="Alta",O25="Moderado"),AND(K25="Alta",O25="Mayor"),AND(K25="Muy Alta",O25="Leve"),AND(K25="Muy Alta",O25="Menor"),AND(K25="Muy Alta",O25="Moderado"),AND(K25="Muy Alta",O25="Mayor")),"Alto",IF(OR(AND(K25="Muy Baja",O25="Catastrófico"),AND(K25="Baja",O25="Catastrófico"),AND(K25="Media",O25="Catastrófico"),AND(K25="Alta",O25="Catastrófico"),AND(K25="Muy Alta",O25="Catastrófico")),"Extremo",""))))</f>
        <v>Moderado</v>
      </c>
      <c r="R25" s="100">
        <v>1</v>
      </c>
      <c r="S25" s="101" t="s">
        <v>260</v>
      </c>
      <c r="T25" s="102" t="str">
        <f t="shared" si="27"/>
        <v>Probabilidad</v>
      </c>
      <c r="U25" s="103" t="s">
        <v>15</v>
      </c>
      <c r="V25" s="103" t="s">
        <v>9</v>
      </c>
      <c r="W25" s="104" t="str">
        <f t="shared" si="28"/>
        <v>30%</v>
      </c>
      <c r="X25" s="103" t="s">
        <v>20</v>
      </c>
      <c r="Y25" s="103" t="s">
        <v>23</v>
      </c>
      <c r="Z25" s="103" t="s">
        <v>114</v>
      </c>
      <c r="AA25" s="105">
        <f t="shared" si="33"/>
        <v>0.14000000000000001</v>
      </c>
      <c r="AB25" s="106" t="str">
        <f t="shared" si="29"/>
        <v>Muy Baja</v>
      </c>
      <c r="AC25" s="107">
        <f t="shared" si="30"/>
        <v>0.14000000000000001</v>
      </c>
      <c r="AD25" s="106" t="str">
        <f t="shared" si="31"/>
        <v>Moderado</v>
      </c>
      <c r="AE25" s="107">
        <f t="shared" si="34"/>
        <v>0.6</v>
      </c>
      <c r="AF25" s="108" t="str">
        <f t="shared" si="32"/>
        <v>Moderado</v>
      </c>
      <c r="AG25" s="109" t="s">
        <v>129</v>
      </c>
      <c r="AH25" s="148" t="s">
        <v>261</v>
      </c>
      <c r="AI25" s="136" t="s">
        <v>233</v>
      </c>
      <c r="AJ25" s="137">
        <v>44378</v>
      </c>
      <c r="AK25" s="137">
        <v>44561</v>
      </c>
      <c r="AL25" s="135" t="s">
        <v>464</v>
      </c>
      <c r="AM25" s="111"/>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row>
    <row r="26" spans="1:71" ht="151.5" customHeight="1" x14ac:dyDescent="0.25">
      <c r="A26" s="212"/>
      <c r="B26" s="214"/>
      <c r="C26" s="224"/>
      <c r="D26" s="227"/>
      <c r="E26" s="218"/>
      <c r="F26" s="218"/>
      <c r="G26" s="218"/>
      <c r="H26" s="220"/>
      <c r="I26" s="218"/>
      <c r="J26" s="222"/>
      <c r="K26" s="202"/>
      <c r="L26" s="205"/>
      <c r="M26" s="208"/>
      <c r="N26" s="150"/>
      <c r="O26" s="202"/>
      <c r="P26" s="205"/>
      <c r="Q26" s="210"/>
      <c r="R26" s="100">
        <v>2</v>
      </c>
      <c r="S26" s="101"/>
      <c r="T26" s="102" t="str">
        <f t="shared" ref="T26:T48" si="51">IF(OR(U26="Preventivo",U26="Detectivo"),"Probabilidad",IF(U26="Correctivo","Impacto",""))</f>
        <v>Probabilidad</v>
      </c>
      <c r="U26" s="103" t="s">
        <v>15</v>
      </c>
      <c r="V26" s="103" t="s">
        <v>9</v>
      </c>
      <c r="W26" s="104" t="str">
        <f t="shared" ref="W26:W48" si="52">IF(AND(U26="Preventivo",V26="Automático"),"50%",IF(AND(U26="Preventivo",V26="Manual"),"40%",IF(AND(U26="Detectivo",V26="Automático"),"40%",IF(AND(U26="Detectivo",V26="Manual"),"30%",IF(AND(U26="Correctivo",V26="Automático"),"35%",IF(AND(U26="Correctivo",V26="Manual"),"25%",""))))))</f>
        <v>30%</v>
      </c>
      <c r="X26" s="103" t="s">
        <v>20</v>
      </c>
      <c r="Y26" s="103" t="s">
        <v>23</v>
      </c>
      <c r="Z26" s="103" t="s">
        <v>114</v>
      </c>
      <c r="AA26" s="105">
        <f t="shared" ref="AA26:AA48" si="53">IFERROR(IF(T26="Probabilidad",(L26-(+L26*W26)),IF(T26="Impacto",L26,"")),"")</f>
        <v>0</v>
      </c>
      <c r="AB26" s="106" t="str">
        <f t="shared" ref="AB26:AB48" si="54">IFERROR(IF(AA26="","",IF(AA26&lt;=0.2,"Muy Baja",IF(AA26&lt;=0.4,"Baja",IF(AA26&lt;=0.6,"Media",IF(AA26&lt;=0.8,"Alta","Muy Alta"))))),"")</f>
        <v>Muy Baja</v>
      </c>
      <c r="AC26" s="107">
        <f t="shared" ref="AC26:AC48" si="55">+AA26</f>
        <v>0</v>
      </c>
      <c r="AD26" s="106" t="str">
        <f t="shared" ref="AD26:AD48" si="56">IFERROR(IF(AE26="","",IF(AE26&lt;=0.2,"Leve",IF(AE26&lt;=0.4,"Menor",IF(AE26&lt;=0.6,"Moderado",IF(AE26&lt;=0.8,"Mayor","Catastrófico"))))),"")</f>
        <v>Leve</v>
      </c>
      <c r="AE26" s="107">
        <f t="shared" ref="AE26:AE48" si="57">IFERROR(IF(T26="Impacto",(P26-(+P26*W26)),IF(T26="Probabilidad",P26,"")),"")</f>
        <v>0</v>
      </c>
      <c r="AF26" s="108" t="str">
        <f t="shared" ref="AF26:AF48" si="58">IFERROR(IF(OR(AND(AB26="Muy Baja",AD26="Leve"),AND(AB26="Muy Baja",AD26="Menor"),AND(AB26="Baja",AD26="Leve")),"Bajo",IF(OR(AND(AB26="Muy baja",AD26="Moderado"),AND(AB26="Baja",AD26="Menor"),AND(AB26="Baja",AD26="Moderado"),AND(AB26="Media",AD26="Leve"),AND(AB26="Media",AD26="Menor"),AND(AB26="Media",AD26="Moderado"),AND(AB26="Alta",AD26="Leve"),AND(AB26="Alta",AD26="Menor")),"Moderado",IF(OR(AND(AB26="Muy Baja",AD26="Mayor"),AND(AB26="Baja",AD26="Mayor"),AND(AB26="Media",AD26="Mayor"),AND(AB26="Alta",AD26="Moderado"),AND(AB26="Alta",AD26="Mayor"),AND(AB26="Muy Alta",AD26="Leve"),AND(AB26="Muy Alta",AD26="Menor"),AND(AB26="Muy Alta",AD26="Moderado"),AND(AB26="Muy Alta",AD26="Mayor")),"Alto",IF(OR(AND(AB26="Muy Baja",AD26="Catastrófico"),AND(AB26="Baja",AD26="Catastrófico"),AND(AB26="Media",AD26="Catastrófico"),AND(AB26="Alta",AD26="Catastrófico"),AND(AB26="Muy Alta",AD26="Catastrófico")),"Extremo","")))),"")</f>
        <v>Bajo</v>
      </c>
      <c r="AG26" s="109"/>
      <c r="AH26" s="148"/>
      <c r="AI26" s="111"/>
      <c r="AJ26" s="112"/>
      <c r="AK26" s="112"/>
      <c r="AL26" s="148"/>
      <c r="AM26" s="111"/>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row>
    <row r="27" spans="1:71" ht="151.5" customHeight="1" x14ac:dyDescent="0.25">
      <c r="A27" s="212"/>
      <c r="B27" s="215"/>
      <c r="C27" s="224"/>
      <c r="D27" s="227"/>
      <c r="E27" s="218"/>
      <c r="F27" s="218"/>
      <c r="G27" s="218"/>
      <c r="H27" s="220"/>
      <c r="I27" s="218"/>
      <c r="J27" s="222"/>
      <c r="K27" s="203"/>
      <c r="L27" s="206"/>
      <c r="M27" s="208"/>
      <c r="N27" s="150"/>
      <c r="O27" s="203"/>
      <c r="P27" s="206"/>
      <c r="Q27" s="211"/>
      <c r="R27" s="100">
        <v>3</v>
      </c>
      <c r="S27" s="101"/>
      <c r="T27" s="102" t="str">
        <f t="shared" si="51"/>
        <v>Probabilidad</v>
      </c>
      <c r="U27" s="103" t="s">
        <v>15</v>
      </c>
      <c r="V27" s="103" t="s">
        <v>9</v>
      </c>
      <c r="W27" s="104" t="str">
        <f t="shared" si="52"/>
        <v>30%</v>
      </c>
      <c r="X27" s="103" t="s">
        <v>20</v>
      </c>
      <c r="Y27" s="103" t="s">
        <v>23</v>
      </c>
      <c r="Z27" s="103" t="s">
        <v>114</v>
      </c>
      <c r="AA27" s="105">
        <f t="shared" si="53"/>
        <v>0</v>
      </c>
      <c r="AB27" s="106" t="str">
        <f t="shared" si="54"/>
        <v>Muy Baja</v>
      </c>
      <c r="AC27" s="107">
        <f t="shared" si="55"/>
        <v>0</v>
      </c>
      <c r="AD27" s="106" t="str">
        <f t="shared" si="56"/>
        <v>Leve</v>
      </c>
      <c r="AE27" s="107">
        <f t="shared" si="57"/>
        <v>0</v>
      </c>
      <c r="AF27" s="108" t="str">
        <f t="shared" si="58"/>
        <v>Bajo</v>
      </c>
      <c r="AG27" s="109"/>
      <c r="AH27" s="148"/>
      <c r="AI27" s="111"/>
      <c r="AJ27" s="112"/>
      <c r="AK27" s="112"/>
      <c r="AL27" s="148"/>
      <c r="AM27" s="111"/>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row>
    <row r="28" spans="1:71" ht="226.5" customHeight="1" x14ac:dyDescent="0.25">
      <c r="A28" s="212">
        <v>8</v>
      </c>
      <c r="B28" s="213" t="s">
        <v>262</v>
      </c>
      <c r="C28" s="223" t="s">
        <v>263</v>
      </c>
      <c r="D28" s="223" t="s">
        <v>264</v>
      </c>
      <c r="E28" s="217" t="s">
        <v>127</v>
      </c>
      <c r="F28" s="225" t="s">
        <v>265</v>
      </c>
      <c r="G28" s="217" t="s">
        <v>266</v>
      </c>
      <c r="H28" s="219" t="s">
        <v>267</v>
      </c>
      <c r="I28" s="217" t="s">
        <v>119</v>
      </c>
      <c r="J28" s="221">
        <v>1460</v>
      </c>
      <c r="K28" s="201" t="str">
        <f>IF(J28&lt;=0,"",IF(J28&lt;=2,"Muy Baja",IF(J28&lt;=24,"Baja",IF(J28&lt;=500,"Media",IF(J28&lt;=5000,"Alta","Muy Alta")))))</f>
        <v>Alta</v>
      </c>
      <c r="L28" s="204">
        <f>IF(K28="","",IF(K28="Muy Baja",0.2,IF(K28="Baja",0.4,IF(K28="Media",0.6,IF(K28="Alta",0.8,IF(K28="Muy Alta",1,))))))</f>
        <v>0.8</v>
      </c>
      <c r="M28" s="207" t="s">
        <v>146</v>
      </c>
      <c r="N28" s="149" t="str">
        <f>IF(NOT(ISERROR(MATCH(M28,'Tabla Impacto'!$B$221:$B$223,0))),'Tabla Impacto'!$F$223&amp;"Por favor no seleccionar los criterios de impacto(Afectación Económica o presupuestal y Pérdida Reputacional)",M28)</f>
        <v xml:space="preserve">     El riesgo afecta la imagen de la entidad con algunos usuarios de relevancia frente al logro de los objetivos</v>
      </c>
      <c r="O28" s="201" t="str">
        <f>IF(OR(N28='Tabla Impacto'!$C$11,N28='Tabla Impacto'!$D$11),"Leve",IF(OR(N28='Tabla Impacto'!$C$12,N28='Tabla Impacto'!$D$12),"Menor",IF(OR(N28='Tabla Impacto'!$C$13,N28='Tabla Impacto'!$D$13),"Moderado",IF(OR(N28='Tabla Impacto'!$C$14,N28='Tabla Impacto'!$D$14),"Mayor",IF(OR(N28='Tabla Impacto'!$C$15,N28='Tabla Impacto'!$D$15),"Catastrófico","")))))</f>
        <v>Moderado</v>
      </c>
      <c r="P28" s="204">
        <f>IF(O28="","",IF(O28="Leve",0.2,IF(O28="Menor",0.4,IF(O28="Moderado",0.6,IF(O28="Mayor",0.8,IF(O28="Catastrófico",1,))))))</f>
        <v>0.6</v>
      </c>
      <c r="Q28" s="209" t="str">
        <f>IF(OR(AND(K28="Muy Baja",O28="Leve"),AND(K28="Muy Baja",O28="Menor"),AND(K28="Baja",O28="Leve")),"Bajo",IF(OR(AND(K28="Muy baja",O28="Moderado"),AND(K28="Baja",O28="Menor"),AND(K28="Baja",O28="Moderado"),AND(K28="Media",O28="Leve"),AND(K28="Media",O28="Menor"),AND(K28="Media",O28="Moderado"),AND(K28="Alta",O28="Leve"),AND(K28="Alta",O28="Menor")),"Moderado",IF(OR(AND(K28="Muy Baja",O28="Mayor"),AND(K28="Baja",O28="Mayor"),AND(K28="Media",O28="Mayor"),AND(K28="Alta",O28="Moderado"),AND(K28="Alta",O28="Mayor"),AND(K28="Muy Alta",O28="Leve"),AND(K28="Muy Alta",O28="Menor"),AND(K28="Muy Alta",O28="Moderado"),AND(K28="Muy Alta",O28="Mayor")),"Alto",IF(OR(AND(K28="Muy Baja",O28="Catastrófico"),AND(K28="Baja",O28="Catastrófico"),AND(K28="Media",O28="Catastrófico"),AND(K28="Alta",O28="Catastrófico"),AND(K28="Muy Alta",O28="Catastrófico")),"Extremo",""))))</f>
        <v>Alto</v>
      </c>
      <c r="R28" s="100">
        <v>1</v>
      </c>
      <c r="S28" s="101" t="s">
        <v>268</v>
      </c>
      <c r="T28" s="102" t="str">
        <f t="shared" si="51"/>
        <v>Probabilidad</v>
      </c>
      <c r="U28" s="103" t="s">
        <v>14</v>
      </c>
      <c r="V28" s="103" t="s">
        <v>9</v>
      </c>
      <c r="W28" s="104" t="str">
        <f t="shared" si="52"/>
        <v>40%</v>
      </c>
      <c r="X28" s="103" t="s">
        <v>19</v>
      </c>
      <c r="Y28" s="103" t="s">
        <v>22</v>
      </c>
      <c r="Z28" s="103" t="s">
        <v>113</v>
      </c>
      <c r="AA28" s="105">
        <f t="shared" si="53"/>
        <v>0.48</v>
      </c>
      <c r="AB28" s="106" t="str">
        <f t="shared" si="54"/>
        <v>Media</v>
      </c>
      <c r="AC28" s="107">
        <f t="shared" si="55"/>
        <v>0.48</v>
      </c>
      <c r="AD28" s="106" t="str">
        <f t="shared" si="56"/>
        <v>Moderado</v>
      </c>
      <c r="AE28" s="107">
        <f t="shared" si="57"/>
        <v>0.6</v>
      </c>
      <c r="AF28" s="108" t="str">
        <f t="shared" si="58"/>
        <v>Moderado</v>
      </c>
      <c r="AG28" s="109" t="s">
        <v>129</v>
      </c>
      <c r="AH28" s="152" t="s">
        <v>269</v>
      </c>
      <c r="AI28" s="139" t="s">
        <v>256</v>
      </c>
      <c r="AJ28" s="140">
        <v>44378</v>
      </c>
      <c r="AK28" s="140">
        <v>44561</v>
      </c>
      <c r="AL28" s="152" t="s">
        <v>270</v>
      </c>
      <c r="AM28" s="111"/>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row>
    <row r="29" spans="1:71" ht="151.5" customHeight="1" x14ac:dyDescent="0.25">
      <c r="A29" s="212"/>
      <c r="B29" s="214"/>
      <c r="C29" s="224"/>
      <c r="D29" s="227"/>
      <c r="E29" s="218"/>
      <c r="F29" s="218"/>
      <c r="G29" s="218"/>
      <c r="H29" s="220"/>
      <c r="I29" s="218"/>
      <c r="J29" s="222"/>
      <c r="K29" s="202"/>
      <c r="L29" s="205"/>
      <c r="M29" s="208"/>
      <c r="N29" s="150"/>
      <c r="O29" s="202"/>
      <c r="P29" s="205"/>
      <c r="Q29" s="210"/>
      <c r="R29" s="100">
        <v>2</v>
      </c>
      <c r="S29" s="101"/>
      <c r="T29" s="102" t="str">
        <f t="shared" si="51"/>
        <v>Probabilidad</v>
      </c>
      <c r="U29" s="103" t="s">
        <v>15</v>
      </c>
      <c r="V29" s="103" t="s">
        <v>9</v>
      </c>
      <c r="W29" s="104" t="str">
        <f t="shared" si="52"/>
        <v>30%</v>
      </c>
      <c r="X29" s="103" t="s">
        <v>20</v>
      </c>
      <c r="Y29" s="103" t="s">
        <v>23</v>
      </c>
      <c r="Z29" s="103" t="s">
        <v>114</v>
      </c>
      <c r="AA29" s="105">
        <f t="shared" si="53"/>
        <v>0</v>
      </c>
      <c r="AB29" s="106" t="str">
        <f t="shared" si="54"/>
        <v>Muy Baja</v>
      </c>
      <c r="AC29" s="107">
        <f t="shared" si="55"/>
        <v>0</v>
      </c>
      <c r="AD29" s="106" t="str">
        <f t="shared" si="56"/>
        <v>Leve</v>
      </c>
      <c r="AE29" s="107">
        <f t="shared" si="57"/>
        <v>0</v>
      </c>
      <c r="AF29" s="108" t="str">
        <f t="shared" si="58"/>
        <v>Bajo</v>
      </c>
      <c r="AG29" s="109"/>
      <c r="AH29" s="148"/>
      <c r="AI29" s="111"/>
      <c r="AJ29" s="112"/>
      <c r="AK29" s="112"/>
      <c r="AL29" s="148"/>
      <c r="AM29" s="111"/>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row>
    <row r="30" spans="1:71" ht="151.5" customHeight="1" x14ac:dyDescent="0.25">
      <c r="A30" s="212"/>
      <c r="B30" s="215"/>
      <c r="C30" s="224"/>
      <c r="D30" s="227"/>
      <c r="E30" s="218"/>
      <c r="F30" s="218"/>
      <c r="G30" s="218"/>
      <c r="H30" s="220"/>
      <c r="I30" s="218"/>
      <c r="J30" s="222"/>
      <c r="K30" s="203"/>
      <c r="L30" s="206"/>
      <c r="M30" s="208"/>
      <c r="N30" s="150"/>
      <c r="O30" s="203"/>
      <c r="P30" s="206"/>
      <c r="Q30" s="211"/>
      <c r="R30" s="100">
        <v>3</v>
      </c>
      <c r="S30" s="101"/>
      <c r="T30" s="102" t="str">
        <f t="shared" si="51"/>
        <v>Probabilidad</v>
      </c>
      <c r="U30" s="103" t="s">
        <v>15</v>
      </c>
      <c r="V30" s="103" t="s">
        <v>9</v>
      </c>
      <c r="W30" s="104" t="str">
        <f t="shared" si="52"/>
        <v>30%</v>
      </c>
      <c r="X30" s="103" t="s">
        <v>20</v>
      </c>
      <c r="Y30" s="103" t="s">
        <v>23</v>
      </c>
      <c r="Z30" s="103" t="s">
        <v>114</v>
      </c>
      <c r="AA30" s="105">
        <f t="shared" si="53"/>
        <v>0</v>
      </c>
      <c r="AB30" s="106" t="str">
        <f t="shared" si="54"/>
        <v>Muy Baja</v>
      </c>
      <c r="AC30" s="107">
        <f t="shared" si="55"/>
        <v>0</v>
      </c>
      <c r="AD30" s="106" t="str">
        <f t="shared" si="56"/>
        <v>Leve</v>
      </c>
      <c r="AE30" s="107">
        <f t="shared" si="57"/>
        <v>0</v>
      </c>
      <c r="AF30" s="108" t="str">
        <f t="shared" si="58"/>
        <v>Bajo</v>
      </c>
      <c r="AG30" s="109"/>
      <c r="AH30" s="148"/>
      <c r="AI30" s="111"/>
      <c r="AJ30" s="112"/>
      <c r="AK30" s="112"/>
      <c r="AL30" s="148"/>
      <c r="AM30" s="111"/>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row>
    <row r="31" spans="1:71" ht="151.5" customHeight="1" x14ac:dyDescent="0.25">
      <c r="A31" s="212">
        <v>9</v>
      </c>
      <c r="B31" s="213" t="s">
        <v>271</v>
      </c>
      <c r="C31" s="223" t="s">
        <v>263</v>
      </c>
      <c r="D31" s="223" t="s">
        <v>264</v>
      </c>
      <c r="E31" s="217" t="s">
        <v>125</v>
      </c>
      <c r="F31" s="217" t="s">
        <v>272</v>
      </c>
      <c r="G31" s="217" t="s">
        <v>273</v>
      </c>
      <c r="H31" s="219" t="s">
        <v>274</v>
      </c>
      <c r="I31" s="217" t="s">
        <v>462</v>
      </c>
      <c r="J31" s="221">
        <v>1460</v>
      </c>
      <c r="K31" s="201" t="str">
        <f>IF(J31&lt;=0,"",IF(J31&lt;=2,"Muy Baja",IF(J31&lt;=24,"Baja",IF(J31&lt;=500,"Media",IF(J31&lt;=5000,"Alta","Muy Alta")))))</f>
        <v>Alta</v>
      </c>
      <c r="L31" s="204">
        <f>IF(K31="","",IF(K31="Muy Baja",0.2,IF(K31="Baja",0.4,IF(K31="Media",0.6,IF(K31="Alta",0.8,IF(K31="Muy Alta",1,))))))</f>
        <v>0.8</v>
      </c>
      <c r="M31" s="207" t="s">
        <v>147</v>
      </c>
      <c r="N31" s="149" t="str">
        <f>IF(NOT(ISERROR(MATCH(M31,'Tabla Impacto'!$B$221:$B$223,0))),'Tabla Impacto'!$F$223&amp;"Por favor no seleccionar los criterios de impacto(Afectación Económica o presupuestal y Pérdida Reputacional)",M31)</f>
        <v xml:space="preserve">     El riesgo afecta la imagen de de la entidad con efecto publicitario sostenido a nivel de sector administrativo, nivel departamental o municipal</v>
      </c>
      <c r="O31" s="201" t="str">
        <f>IF(OR(N31='Tabla Impacto'!$C$11,N31='Tabla Impacto'!$D$11),"Leve",IF(OR(N31='Tabla Impacto'!$C$12,N31='Tabla Impacto'!$D$12),"Menor",IF(OR(N31='Tabla Impacto'!$C$13,N31='Tabla Impacto'!$D$13),"Moderado",IF(OR(N31='Tabla Impacto'!$C$14,N31='Tabla Impacto'!$D$14),"Mayor",IF(OR(N31='Tabla Impacto'!$C$15,N31='Tabla Impacto'!$D$15),"Catastrófico","")))))</f>
        <v>Mayor</v>
      </c>
      <c r="P31" s="204">
        <f>IF(O31="","",IF(O31="Leve",0.2,IF(O31="Menor",0.4,IF(O31="Moderado",0.6,IF(O31="Mayor",0.8,IF(O31="Catastrófico",1,))))))</f>
        <v>0.8</v>
      </c>
      <c r="Q31" s="209" t="str">
        <f>IF(OR(AND(K31="Muy Baja",O31="Leve"),AND(K31="Muy Baja",O31="Menor"),AND(K31="Baja",O31="Leve")),"Bajo",IF(OR(AND(K31="Muy baja",O31="Moderado"),AND(K31="Baja",O31="Menor"),AND(K31="Baja",O31="Moderado"),AND(K31="Media",O31="Leve"),AND(K31="Media",O31="Menor"),AND(K31="Media",O31="Moderado"),AND(K31="Alta",O31="Leve"),AND(K31="Alta",O31="Menor")),"Moderado",IF(OR(AND(K31="Muy Baja",O31="Mayor"),AND(K31="Baja",O31="Mayor"),AND(K31="Media",O31="Mayor"),AND(K31="Alta",O31="Moderado"),AND(K31="Alta",O31="Mayor"),AND(K31="Muy Alta",O31="Leve"),AND(K31="Muy Alta",O31="Menor"),AND(K31="Muy Alta",O31="Moderado"),AND(K31="Muy Alta",O31="Mayor")),"Alto",IF(OR(AND(K31="Muy Baja",O31="Catastrófico"),AND(K31="Baja",O31="Catastrófico"),AND(K31="Media",O31="Catastrófico"),AND(K31="Alta",O31="Catastrófico"),AND(K31="Muy Alta",O31="Catastrófico")),"Extremo",""))))</f>
        <v>Alto</v>
      </c>
      <c r="R31" s="100">
        <v>1</v>
      </c>
      <c r="S31" s="158" t="s">
        <v>275</v>
      </c>
      <c r="T31" s="102" t="str">
        <f t="shared" si="51"/>
        <v>Probabilidad</v>
      </c>
      <c r="U31" s="103" t="s">
        <v>14</v>
      </c>
      <c r="V31" s="103" t="s">
        <v>9</v>
      </c>
      <c r="W31" s="104" t="str">
        <f t="shared" si="52"/>
        <v>40%</v>
      </c>
      <c r="X31" s="103" t="s">
        <v>19</v>
      </c>
      <c r="Y31" s="103" t="s">
        <v>22</v>
      </c>
      <c r="Z31" s="103" t="s">
        <v>113</v>
      </c>
      <c r="AA31" s="105">
        <f t="shared" si="53"/>
        <v>0.48</v>
      </c>
      <c r="AB31" s="106" t="str">
        <f t="shared" si="54"/>
        <v>Media</v>
      </c>
      <c r="AC31" s="107">
        <f t="shared" si="55"/>
        <v>0.48</v>
      </c>
      <c r="AD31" s="106" t="str">
        <f t="shared" si="56"/>
        <v>Mayor</v>
      </c>
      <c r="AE31" s="107">
        <f t="shared" si="57"/>
        <v>0.8</v>
      </c>
      <c r="AF31" s="108" t="str">
        <f t="shared" si="58"/>
        <v>Alto</v>
      </c>
      <c r="AG31" s="109" t="s">
        <v>129</v>
      </c>
      <c r="AH31" s="152" t="s">
        <v>277</v>
      </c>
      <c r="AI31" s="139" t="s">
        <v>256</v>
      </c>
      <c r="AJ31" s="140">
        <v>44378</v>
      </c>
      <c r="AK31" s="140">
        <v>44561</v>
      </c>
      <c r="AL31" s="152" t="s">
        <v>278</v>
      </c>
      <c r="AM31" s="111"/>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row>
    <row r="32" spans="1:71" ht="151.5" customHeight="1" x14ac:dyDescent="0.25">
      <c r="A32" s="212"/>
      <c r="B32" s="214"/>
      <c r="C32" s="224"/>
      <c r="D32" s="227"/>
      <c r="E32" s="218"/>
      <c r="F32" s="218"/>
      <c r="G32" s="218"/>
      <c r="H32" s="220"/>
      <c r="I32" s="218"/>
      <c r="J32" s="222"/>
      <c r="K32" s="202"/>
      <c r="L32" s="205"/>
      <c r="M32" s="208"/>
      <c r="N32" s="150"/>
      <c r="O32" s="202"/>
      <c r="P32" s="205"/>
      <c r="Q32" s="210"/>
      <c r="R32" s="100">
        <v>2</v>
      </c>
      <c r="S32" s="158" t="s">
        <v>276</v>
      </c>
      <c r="T32" s="102" t="str">
        <f t="shared" si="51"/>
        <v>Probabilidad</v>
      </c>
      <c r="U32" s="103" t="s">
        <v>14</v>
      </c>
      <c r="V32" s="103" t="s">
        <v>9</v>
      </c>
      <c r="W32" s="104" t="str">
        <f t="shared" si="52"/>
        <v>40%</v>
      </c>
      <c r="X32" s="103" t="s">
        <v>19</v>
      </c>
      <c r="Y32" s="103" t="s">
        <v>22</v>
      </c>
      <c r="Z32" s="103" t="s">
        <v>113</v>
      </c>
      <c r="AA32" s="105">
        <f t="shared" si="53"/>
        <v>0</v>
      </c>
      <c r="AB32" s="106" t="str">
        <f t="shared" si="54"/>
        <v>Muy Baja</v>
      </c>
      <c r="AC32" s="107">
        <f t="shared" si="55"/>
        <v>0</v>
      </c>
      <c r="AD32" s="106" t="str">
        <f t="shared" si="56"/>
        <v>Leve</v>
      </c>
      <c r="AE32" s="107">
        <f t="shared" si="57"/>
        <v>0</v>
      </c>
      <c r="AF32" s="108" t="str">
        <f t="shared" si="58"/>
        <v>Bajo</v>
      </c>
      <c r="AG32" s="109" t="s">
        <v>129</v>
      </c>
      <c r="AH32" s="152" t="s">
        <v>279</v>
      </c>
      <c r="AI32" s="139" t="s">
        <v>256</v>
      </c>
      <c r="AJ32" s="140">
        <v>44378</v>
      </c>
      <c r="AK32" s="140">
        <v>44561</v>
      </c>
      <c r="AL32" s="152" t="s">
        <v>278</v>
      </c>
      <c r="AM32" s="111"/>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row>
    <row r="33" spans="1:71" ht="151.5" customHeight="1" x14ac:dyDescent="0.25">
      <c r="A33" s="212"/>
      <c r="B33" s="215"/>
      <c r="C33" s="224"/>
      <c r="D33" s="227"/>
      <c r="E33" s="218"/>
      <c r="F33" s="218"/>
      <c r="G33" s="218"/>
      <c r="H33" s="220"/>
      <c r="I33" s="218"/>
      <c r="J33" s="222"/>
      <c r="K33" s="203"/>
      <c r="L33" s="206"/>
      <c r="M33" s="208"/>
      <c r="N33" s="150"/>
      <c r="O33" s="203"/>
      <c r="P33" s="206"/>
      <c r="Q33" s="211"/>
      <c r="R33" s="100">
        <v>3</v>
      </c>
      <c r="S33" s="101"/>
      <c r="T33" s="102" t="str">
        <f t="shared" si="51"/>
        <v>Probabilidad</v>
      </c>
      <c r="U33" s="103" t="s">
        <v>15</v>
      </c>
      <c r="V33" s="103" t="s">
        <v>9</v>
      </c>
      <c r="W33" s="104" t="str">
        <f t="shared" si="52"/>
        <v>30%</v>
      </c>
      <c r="X33" s="103" t="s">
        <v>20</v>
      </c>
      <c r="Y33" s="103" t="s">
        <v>23</v>
      </c>
      <c r="Z33" s="103" t="s">
        <v>114</v>
      </c>
      <c r="AA33" s="105">
        <f t="shared" si="53"/>
        <v>0</v>
      </c>
      <c r="AB33" s="106" t="str">
        <f t="shared" si="54"/>
        <v>Muy Baja</v>
      </c>
      <c r="AC33" s="107">
        <f t="shared" si="55"/>
        <v>0</v>
      </c>
      <c r="AD33" s="106" t="str">
        <f t="shared" si="56"/>
        <v>Leve</v>
      </c>
      <c r="AE33" s="107">
        <f t="shared" si="57"/>
        <v>0</v>
      </c>
      <c r="AF33" s="108" t="str">
        <f t="shared" si="58"/>
        <v>Bajo</v>
      </c>
      <c r="AG33" s="109"/>
      <c r="AH33" s="148"/>
      <c r="AI33" s="111"/>
      <c r="AJ33" s="112"/>
      <c r="AK33" s="112"/>
      <c r="AL33" s="148"/>
      <c r="AM33" s="111"/>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row>
    <row r="34" spans="1:71" ht="151.5" customHeight="1" x14ac:dyDescent="0.25">
      <c r="A34" s="212">
        <v>10</v>
      </c>
      <c r="B34" s="213" t="s">
        <v>271</v>
      </c>
      <c r="C34" s="223" t="s">
        <v>263</v>
      </c>
      <c r="D34" s="223" t="s">
        <v>264</v>
      </c>
      <c r="E34" s="217" t="s">
        <v>127</v>
      </c>
      <c r="F34" s="217" t="s">
        <v>280</v>
      </c>
      <c r="G34" s="217" t="s">
        <v>281</v>
      </c>
      <c r="H34" s="219" t="s">
        <v>282</v>
      </c>
      <c r="I34" s="217" t="s">
        <v>462</v>
      </c>
      <c r="J34" s="221">
        <v>1460</v>
      </c>
      <c r="K34" s="201" t="str">
        <f>IF(J34&lt;=0,"",IF(J34&lt;=2,"Muy Baja",IF(J34&lt;=24,"Baja",IF(J34&lt;=500,"Media",IF(J34&lt;=5000,"Alta","Muy Alta")))))</f>
        <v>Alta</v>
      </c>
      <c r="L34" s="204">
        <f>IF(K34="","",IF(K34="Muy Baja",0.2,IF(K34="Baja",0.4,IF(K34="Media",0.6,IF(K34="Alta",0.8,IF(K34="Muy Alta",1,))))))</f>
        <v>0.8</v>
      </c>
      <c r="M34" s="207" t="s">
        <v>146</v>
      </c>
      <c r="N34" s="149" t="str">
        <f>IF(NOT(ISERROR(MATCH(M34,'Tabla Impacto'!$B$221:$B$223,0))),'Tabla Impacto'!$F$223&amp;"Por favor no seleccionar los criterios de impacto(Afectación Económica o presupuestal y Pérdida Reputacional)",M34)</f>
        <v xml:space="preserve">     El riesgo afecta la imagen de la entidad con algunos usuarios de relevancia frente al logro de los objetivos</v>
      </c>
      <c r="O34" s="201" t="str">
        <f>IF(OR(N34='Tabla Impacto'!$C$11,N34='Tabla Impacto'!$D$11),"Leve",IF(OR(N34='Tabla Impacto'!$C$12,N34='Tabla Impacto'!$D$12),"Menor",IF(OR(N34='Tabla Impacto'!$C$13,N34='Tabla Impacto'!$D$13),"Moderado",IF(OR(N34='Tabla Impacto'!$C$14,N34='Tabla Impacto'!$D$14),"Mayor",IF(OR(N34='Tabla Impacto'!$C$15,N34='Tabla Impacto'!$D$15),"Catastrófico","")))))</f>
        <v>Moderado</v>
      </c>
      <c r="P34" s="204">
        <f>IF(O34="","",IF(O34="Leve",0.2,IF(O34="Menor",0.4,IF(O34="Moderado",0.6,IF(O34="Mayor",0.8,IF(O34="Catastrófico",1,))))))</f>
        <v>0.6</v>
      </c>
      <c r="Q34" s="209" t="str">
        <f>IF(OR(AND(K34="Muy Baja",O34="Leve"),AND(K34="Muy Baja",O34="Menor"),AND(K34="Baja",O34="Leve")),"Bajo",IF(OR(AND(K34="Muy baja",O34="Moderado"),AND(K34="Baja",O34="Menor"),AND(K34="Baja",O34="Moderado"),AND(K34="Media",O34="Leve"),AND(K34="Media",O34="Menor"),AND(K34="Media",O34="Moderado"),AND(K34="Alta",O34="Leve"),AND(K34="Alta",O34="Menor")),"Moderado",IF(OR(AND(K34="Muy Baja",O34="Mayor"),AND(K34="Baja",O34="Mayor"),AND(K34="Media",O34="Mayor"),AND(K34="Alta",O34="Moderado"),AND(K34="Alta",O34="Mayor"),AND(K34="Muy Alta",O34="Leve"),AND(K34="Muy Alta",O34="Menor"),AND(K34="Muy Alta",O34="Moderado"),AND(K34="Muy Alta",O34="Mayor")),"Alto",IF(OR(AND(K34="Muy Baja",O34="Catastrófico"),AND(K34="Baja",O34="Catastrófico"),AND(K34="Media",O34="Catastrófico"),AND(K34="Alta",O34="Catastrófico"),AND(K34="Muy Alta",O34="Catastrófico")),"Extremo",""))))</f>
        <v>Alto</v>
      </c>
      <c r="R34" s="100">
        <v>1</v>
      </c>
      <c r="S34" s="101" t="s">
        <v>275</v>
      </c>
      <c r="T34" s="102" t="str">
        <f t="shared" si="51"/>
        <v>Probabilidad</v>
      </c>
      <c r="U34" s="103" t="s">
        <v>14</v>
      </c>
      <c r="V34" s="103" t="s">
        <v>9</v>
      </c>
      <c r="W34" s="104" t="str">
        <f t="shared" si="52"/>
        <v>40%</v>
      </c>
      <c r="X34" s="103" t="s">
        <v>19</v>
      </c>
      <c r="Y34" s="103" t="s">
        <v>23</v>
      </c>
      <c r="Z34" s="103" t="s">
        <v>113</v>
      </c>
      <c r="AA34" s="105">
        <f t="shared" si="53"/>
        <v>0.48</v>
      </c>
      <c r="AB34" s="106" t="str">
        <f t="shared" si="54"/>
        <v>Media</v>
      </c>
      <c r="AC34" s="107">
        <f t="shared" si="55"/>
        <v>0.48</v>
      </c>
      <c r="AD34" s="106" t="str">
        <f t="shared" si="56"/>
        <v>Moderado</v>
      </c>
      <c r="AE34" s="107">
        <f t="shared" si="57"/>
        <v>0.6</v>
      </c>
      <c r="AF34" s="108" t="str">
        <f t="shared" si="58"/>
        <v>Moderado</v>
      </c>
      <c r="AG34" s="109" t="s">
        <v>129</v>
      </c>
      <c r="AH34" s="152" t="s">
        <v>285</v>
      </c>
      <c r="AI34" s="139" t="s">
        <v>256</v>
      </c>
      <c r="AJ34" s="140">
        <v>44378</v>
      </c>
      <c r="AK34" s="140">
        <v>44561</v>
      </c>
      <c r="AL34" s="152" t="s">
        <v>284</v>
      </c>
      <c r="AM34" s="138" t="s">
        <v>286</v>
      </c>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row>
    <row r="35" spans="1:71" ht="151.5" customHeight="1" x14ac:dyDescent="0.25">
      <c r="A35" s="212"/>
      <c r="B35" s="214"/>
      <c r="C35" s="224"/>
      <c r="D35" s="227"/>
      <c r="E35" s="218"/>
      <c r="F35" s="218"/>
      <c r="G35" s="218"/>
      <c r="H35" s="220"/>
      <c r="I35" s="218"/>
      <c r="J35" s="222"/>
      <c r="K35" s="202"/>
      <c r="L35" s="205"/>
      <c r="M35" s="208"/>
      <c r="N35" s="150"/>
      <c r="O35" s="202"/>
      <c r="P35" s="205"/>
      <c r="Q35" s="210"/>
      <c r="R35" s="100">
        <v>2</v>
      </c>
      <c r="S35" s="101" t="s">
        <v>276</v>
      </c>
      <c r="T35" s="102" t="str">
        <f t="shared" si="51"/>
        <v>Probabilidad</v>
      </c>
      <c r="U35" s="103" t="s">
        <v>14</v>
      </c>
      <c r="V35" s="103" t="s">
        <v>9</v>
      </c>
      <c r="W35" s="104" t="str">
        <f t="shared" si="52"/>
        <v>40%</v>
      </c>
      <c r="X35" s="103" t="s">
        <v>19</v>
      </c>
      <c r="Y35" s="103" t="s">
        <v>23</v>
      </c>
      <c r="Z35" s="103" t="s">
        <v>114</v>
      </c>
      <c r="AA35" s="105">
        <f t="shared" si="53"/>
        <v>0</v>
      </c>
      <c r="AB35" s="106" t="str">
        <f t="shared" si="54"/>
        <v>Muy Baja</v>
      </c>
      <c r="AC35" s="107">
        <f t="shared" si="55"/>
        <v>0</v>
      </c>
      <c r="AD35" s="106" t="str">
        <f t="shared" si="56"/>
        <v>Leve</v>
      </c>
      <c r="AE35" s="107">
        <f t="shared" si="57"/>
        <v>0</v>
      </c>
      <c r="AF35" s="108" t="str">
        <f t="shared" si="58"/>
        <v>Bajo</v>
      </c>
      <c r="AG35" s="109" t="s">
        <v>129</v>
      </c>
      <c r="AH35" s="152" t="s">
        <v>285</v>
      </c>
      <c r="AI35" s="139" t="s">
        <v>256</v>
      </c>
      <c r="AJ35" s="140">
        <v>44378</v>
      </c>
      <c r="AK35" s="140">
        <v>44561</v>
      </c>
      <c r="AL35" s="152" t="s">
        <v>284</v>
      </c>
      <c r="AM35" s="138" t="s">
        <v>286</v>
      </c>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row>
    <row r="36" spans="1:71" ht="151.5" customHeight="1" x14ac:dyDescent="0.25">
      <c r="A36" s="212"/>
      <c r="B36" s="215"/>
      <c r="C36" s="224"/>
      <c r="D36" s="227"/>
      <c r="E36" s="218"/>
      <c r="F36" s="218"/>
      <c r="G36" s="218"/>
      <c r="H36" s="220"/>
      <c r="I36" s="218"/>
      <c r="J36" s="222"/>
      <c r="K36" s="203"/>
      <c r="L36" s="206"/>
      <c r="M36" s="208"/>
      <c r="N36" s="150"/>
      <c r="O36" s="203"/>
      <c r="P36" s="206"/>
      <c r="Q36" s="211"/>
      <c r="R36" s="100">
        <v>3</v>
      </c>
      <c r="S36" s="101" t="s">
        <v>283</v>
      </c>
      <c r="T36" s="102" t="str">
        <f t="shared" si="51"/>
        <v>Probabilidad</v>
      </c>
      <c r="U36" s="103" t="s">
        <v>15</v>
      </c>
      <c r="V36" s="103" t="s">
        <v>9</v>
      </c>
      <c r="W36" s="104" t="str">
        <f t="shared" si="52"/>
        <v>30%</v>
      </c>
      <c r="X36" s="103" t="s">
        <v>19</v>
      </c>
      <c r="Y36" s="103" t="s">
        <v>22</v>
      </c>
      <c r="Z36" s="103" t="s">
        <v>113</v>
      </c>
      <c r="AA36" s="105">
        <f t="shared" si="53"/>
        <v>0</v>
      </c>
      <c r="AB36" s="106" t="str">
        <f t="shared" si="54"/>
        <v>Muy Baja</v>
      </c>
      <c r="AC36" s="107">
        <f t="shared" si="55"/>
        <v>0</v>
      </c>
      <c r="AD36" s="106" t="str">
        <f t="shared" si="56"/>
        <v>Leve</v>
      </c>
      <c r="AE36" s="107">
        <f t="shared" si="57"/>
        <v>0</v>
      </c>
      <c r="AF36" s="108" t="str">
        <f t="shared" si="58"/>
        <v>Bajo</v>
      </c>
      <c r="AG36" s="109" t="s">
        <v>129</v>
      </c>
      <c r="AH36" s="152" t="s">
        <v>285</v>
      </c>
      <c r="AI36" s="139" t="s">
        <v>256</v>
      </c>
      <c r="AJ36" s="140">
        <v>44378</v>
      </c>
      <c r="AK36" s="140">
        <v>44561</v>
      </c>
      <c r="AL36" s="152" t="s">
        <v>284</v>
      </c>
      <c r="AM36" s="111"/>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row>
    <row r="37" spans="1:71" ht="285" customHeight="1" x14ac:dyDescent="0.25">
      <c r="A37" s="212">
        <v>11</v>
      </c>
      <c r="B37" s="213" t="s">
        <v>287</v>
      </c>
      <c r="C37" s="223" t="s">
        <v>546</v>
      </c>
      <c r="D37" s="223" t="s">
        <v>288</v>
      </c>
      <c r="E37" s="217" t="s">
        <v>125</v>
      </c>
      <c r="F37" s="225" t="s">
        <v>560</v>
      </c>
      <c r="G37" s="225" t="s">
        <v>561</v>
      </c>
      <c r="H37" s="219" t="s">
        <v>289</v>
      </c>
      <c r="I37" s="217" t="s">
        <v>119</v>
      </c>
      <c r="J37" s="221">
        <v>20</v>
      </c>
      <c r="K37" s="201" t="str">
        <f>IF(J37&lt;=0,"",IF(J37&lt;=2,"Muy Baja",IF(J37&lt;=24,"Baja",IF(J37&lt;=500,"Media",IF(J37&lt;=5000,"Alta","Muy Alta")))))</f>
        <v>Baja</v>
      </c>
      <c r="L37" s="204">
        <f>IF(K37="","",IF(K37="Muy Baja",0.2,IF(K37="Baja",0.4,IF(K37="Media",0.6,IF(K37="Alta",0.8,IF(K37="Muy Alta",1,))))))</f>
        <v>0.4</v>
      </c>
      <c r="M37" s="207" t="s">
        <v>147</v>
      </c>
      <c r="N37" s="149" t="str">
        <f>IF(NOT(ISERROR(MATCH(M37,'Tabla Impacto'!$B$221:$B$223,0))),'Tabla Impacto'!$F$223&amp;"Por favor no seleccionar los criterios de impacto(Afectación Económica o presupuestal y Pérdida Reputacional)",M37)</f>
        <v xml:space="preserve">     El riesgo afecta la imagen de de la entidad con efecto publicitario sostenido a nivel de sector administrativo, nivel departamental o municipal</v>
      </c>
      <c r="O37" s="201" t="str">
        <f>IF(OR(N37='Tabla Impacto'!$C$11,N37='Tabla Impacto'!$D$11),"Leve",IF(OR(N37='Tabla Impacto'!$C$12,N37='Tabla Impacto'!$D$12),"Menor",IF(OR(N37='Tabla Impacto'!$C$13,N37='Tabla Impacto'!$D$13),"Moderado",IF(OR(N37='Tabla Impacto'!$C$14,N37='Tabla Impacto'!$D$14),"Mayor",IF(OR(N37='Tabla Impacto'!$C$15,N37='Tabla Impacto'!$D$15),"Catastrófico","")))))</f>
        <v>Mayor</v>
      </c>
      <c r="P37" s="204">
        <f>IF(O37="","",IF(O37="Leve",0.2,IF(O37="Menor",0.4,IF(O37="Moderado",0.6,IF(O37="Mayor",0.8,IF(O37="Catastrófico",1,))))))</f>
        <v>0.8</v>
      </c>
      <c r="Q37" s="209" t="str">
        <f>IF(OR(AND(K37="Muy Baja",O37="Leve"),AND(K37="Muy Baja",O37="Menor"),AND(K37="Baja",O37="Leve")),"Bajo",IF(OR(AND(K37="Muy baja",O37="Moderado"),AND(K37="Baja",O37="Menor"),AND(K37="Baja",O37="Moderado"),AND(K37="Media",O37="Leve"),AND(K37="Media",O37="Menor"),AND(K37="Media",O37="Moderado"),AND(K37="Alta",O37="Leve"),AND(K37="Alta",O37="Menor")),"Moderado",IF(OR(AND(K37="Muy Baja",O37="Mayor"),AND(K37="Baja",O37="Mayor"),AND(K37="Media",O37="Mayor"),AND(K37="Alta",O37="Moderado"),AND(K37="Alta",O37="Mayor"),AND(K37="Muy Alta",O37="Leve"),AND(K37="Muy Alta",O37="Menor"),AND(K37="Muy Alta",O37="Moderado"),AND(K37="Muy Alta",O37="Mayor")),"Alto",IF(OR(AND(K37="Muy Baja",O37="Catastrófico"),AND(K37="Baja",O37="Catastrófico"),AND(K37="Media",O37="Catastrófico"),AND(K37="Alta",O37="Catastrófico"),AND(K37="Muy Alta",O37="Catastrófico")),"Extremo",""))))</f>
        <v>Alto</v>
      </c>
      <c r="R37" s="100">
        <v>1</v>
      </c>
      <c r="S37" s="101" t="s">
        <v>562</v>
      </c>
      <c r="T37" s="102" t="str">
        <f t="shared" si="51"/>
        <v>Probabilidad</v>
      </c>
      <c r="U37" s="103" t="s">
        <v>14</v>
      </c>
      <c r="V37" s="103" t="s">
        <v>9</v>
      </c>
      <c r="W37" s="104" t="str">
        <f t="shared" si="52"/>
        <v>40%</v>
      </c>
      <c r="X37" s="103" t="s">
        <v>19</v>
      </c>
      <c r="Y37" s="103" t="s">
        <v>22</v>
      </c>
      <c r="Z37" s="103" t="s">
        <v>113</v>
      </c>
      <c r="AA37" s="105">
        <f t="shared" si="53"/>
        <v>0.24</v>
      </c>
      <c r="AB37" s="106" t="str">
        <f t="shared" si="54"/>
        <v>Baja</v>
      </c>
      <c r="AC37" s="107">
        <f t="shared" si="55"/>
        <v>0.24</v>
      </c>
      <c r="AD37" s="106" t="str">
        <f t="shared" si="56"/>
        <v>Mayor</v>
      </c>
      <c r="AE37" s="107">
        <f t="shared" si="57"/>
        <v>0.8</v>
      </c>
      <c r="AF37" s="108" t="str">
        <f t="shared" si="58"/>
        <v>Alto</v>
      </c>
      <c r="AG37" s="109" t="s">
        <v>129</v>
      </c>
      <c r="AH37" s="152" t="s">
        <v>563</v>
      </c>
      <c r="AI37" s="159" t="s">
        <v>291</v>
      </c>
      <c r="AJ37" s="160">
        <v>44440</v>
      </c>
      <c r="AK37" s="161">
        <v>44561</v>
      </c>
      <c r="AL37" s="148" t="s">
        <v>564</v>
      </c>
      <c r="AM37" s="111"/>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row>
    <row r="38" spans="1:71" ht="151.5" customHeight="1" x14ac:dyDescent="0.25">
      <c r="A38" s="212"/>
      <c r="B38" s="214"/>
      <c r="C38" s="227"/>
      <c r="D38" s="227"/>
      <c r="E38" s="218"/>
      <c r="F38" s="218"/>
      <c r="G38" s="218"/>
      <c r="H38" s="220"/>
      <c r="I38" s="218"/>
      <c r="J38" s="222"/>
      <c r="K38" s="202"/>
      <c r="L38" s="205"/>
      <c r="M38" s="208"/>
      <c r="N38" s="150"/>
      <c r="O38" s="202"/>
      <c r="P38" s="205"/>
      <c r="Q38" s="210"/>
      <c r="R38" s="100">
        <v>2</v>
      </c>
      <c r="S38" s="101"/>
      <c r="T38" s="102" t="str">
        <f t="shared" si="51"/>
        <v>Probabilidad</v>
      </c>
      <c r="U38" s="103" t="s">
        <v>15</v>
      </c>
      <c r="V38" s="103" t="s">
        <v>9</v>
      </c>
      <c r="W38" s="104" t="str">
        <f t="shared" si="52"/>
        <v>30%</v>
      </c>
      <c r="X38" s="103" t="s">
        <v>20</v>
      </c>
      <c r="Y38" s="103" t="s">
        <v>23</v>
      </c>
      <c r="Z38" s="103" t="s">
        <v>114</v>
      </c>
      <c r="AA38" s="105">
        <f t="shared" si="53"/>
        <v>0</v>
      </c>
      <c r="AB38" s="106" t="str">
        <f t="shared" si="54"/>
        <v>Muy Baja</v>
      </c>
      <c r="AC38" s="107">
        <f t="shared" si="55"/>
        <v>0</v>
      </c>
      <c r="AD38" s="106" t="str">
        <f t="shared" si="56"/>
        <v>Leve</v>
      </c>
      <c r="AE38" s="107">
        <f t="shared" si="57"/>
        <v>0</v>
      </c>
      <c r="AF38" s="108" t="str">
        <f t="shared" si="58"/>
        <v>Bajo</v>
      </c>
      <c r="AG38" s="109"/>
      <c r="AH38" s="148"/>
      <c r="AI38" s="111"/>
      <c r="AJ38" s="112"/>
      <c r="AK38" s="112"/>
      <c r="AL38" s="148"/>
      <c r="AM38" s="111"/>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row>
    <row r="39" spans="1:71" ht="151.5" customHeight="1" x14ac:dyDescent="0.25">
      <c r="A39" s="212"/>
      <c r="B39" s="215"/>
      <c r="C39" s="227"/>
      <c r="D39" s="227"/>
      <c r="E39" s="218"/>
      <c r="F39" s="218"/>
      <c r="G39" s="218"/>
      <c r="H39" s="220"/>
      <c r="I39" s="218"/>
      <c r="J39" s="222"/>
      <c r="K39" s="203"/>
      <c r="L39" s="206"/>
      <c r="M39" s="208"/>
      <c r="N39" s="150"/>
      <c r="O39" s="203"/>
      <c r="P39" s="206"/>
      <c r="Q39" s="211"/>
      <c r="R39" s="100">
        <v>3</v>
      </c>
      <c r="S39" s="101"/>
      <c r="T39" s="102" t="str">
        <f t="shared" si="51"/>
        <v>Probabilidad</v>
      </c>
      <c r="U39" s="103" t="s">
        <v>15</v>
      </c>
      <c r="V39" s="103" t="s">
        <v>9</v>
      </c>
      <c r="W39" s="104" t="str">
        <f t="shared" si="52"/>
        <v>30%</v>
      </c>
      <c r="X39" s="103" t="s">
        <v>20</v>
      </c>
      <c r="Y39" s="103" t="s">
        <v>23</v>
      </c>
      <c r="Z39" s="103" t="s">
        <v>114</v>
      </c>
      <c r="AA39" s="105">
        <f t="shared" si="53"/>
        <v>0</v>
      </c>
      <c r="AB39" s="106" t="str">
        <f t="shared" si="54"/>
        <v>Muy Baja</v>
      </c>
      <c r="AC39" s="107">
        <f t="shared" si="55"/>
        <v>0</v>
      </c>
      <c r="AD39" s="106" t="str">
        <f t="shared" si="56"/>
        <v>Leve</v>
      </c>
      <c r="AE39" s="107">
        <f t="shared" si="57"/>
        <v>0</v>
      </c>
      <c r="AF39" s="108" t="str">
        <f t="shared" si="58"/>
        <v>Bajo</v>
      </c>
      <c r="AG39" s="109"/>
      <c r="AH39" s="148"/>
      <c r="AI39" s="111"/>
      <c r="AJ39" s="112"/>
      <c r="AK39" s="112"/>
      <c r="AL39" s="148"/>
      <c r="AM39" s="111"/>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row>
    <row r="40" spans="1:71" ht="176.25" customHeight="1" x14ac:dyDescent="0.25">
      <c r="A40" s="212">
        <v>12</v>
      </c>
      <c r="B40" s="213" t="s">
        <v>287</v>
      </c>
      <c r="C40" s="223" t="s">
        <v>546</v>
      </c>
      <c r="D40" s="223" t="s">
        <v>288</v>
      </c>
      <c r="E40" s="217" t="s">
        <v>127</v>
      </c>
      <c r="F40" s="225" t="s">
        <v>565</v>
      </c>
      <c r="G40" s="225" t="s">
        <v>561</v>
      </c>
      <c r="H40" s="219" t="s">
        <v>290</v>
      </c>
      <c r="I40" s="217" t="s">
        <v>119</v>
      </c>
      <c r="J40" s="221">
        <v>20</v>
      </c>
      <c r="K40" s="201" t="str">
        <f>IF(J40&lt;=0,"",IF(J40&lt;=2,"Muy Baja",IF(J40&lt;=24,"Baja",IF(J40&lt;=500,"Media",IF(J40&lt;=5000,"Alta","Muy Alta")))))</f>
        <v>Baja</v>
      </c>
      <c r="L40" s="204">
        <f>IF(K40="","",IF(K40="Muy Baja",0.2,IF(K40="Baja",0.4,IF(K40="Media",0.6,IF(K40="Alta",0.8,IF(K40="Muy Alta",1,))))))</f>
        <v>0.4</v>
      </c>
      <c r="M40" s="207" t="s">
        <v>146</v>
      </c>
      <c r="N40" s="149" t="str">
        <f>IF(NOT(ISERROR(MATCH(M40,'Tabla Impacto'!$B$221:$B$223,0))),'Tabla Impacto'!$F$223&amp;"Por favor no seleccionar los criterios de impacto(Afectación Económica o presupuestal y Pérdida Reputacional)",M40)</f>
        <v xml:space="preserve">     El riesgo afecta la imagen de la entidad con algunos usuarios de relevancia frente al logro de los objetivos</v>
      </c>
      <c r="O40" s="201" t="str">
        <f>IF(OR(N40='Tabla Impacto'!$C$11,N40='Tabla Impacto'!$D$11),"Leve",IF(OR(N40='Tabla Impacto'!$C$12,N40='Tabla Impacto'!$D$12),"Menor",IF(OR(N40='Tabla Impacto'!$C$13,N40='Tabla Impacto'!$D$13),"Moderado",IF(OR(N40='Tabla Impacto'!$C$14,N40='Tabla Impacto'!$D$14),"Mayor",IF(OR(N40='Tabla Impacto'!$C$15,N40='Tabla Impacto'!$D$15),"Catastrófico","")))))</f>
        <v>Moderado</v>
      </c>
      <c r="P40" s="204">
        <f>IF(O40="","",IF(O40="Leve",0.2,IF(O40="Menor",0.4,IF(O40="Moderado",0.6,IF(O40="Mayor",0.8,IF(O40="Catastrófico",1,))))))</f>
        <v>0.6</v>
      </c>
      <c r="Q40" s="209" t="str">
        <f>IF(OR(AND(K40="Muy Baja",O40="Leve"),AND(K40="Muy Baja",O40="Menor"),AND(K40="Baja",O40="Leve")),"Bajo",IF(OR(AND(K40="Muy baja",O40="Moderado"),AND(K40="Baja",O40="Menor"),AND(K40="Baja",O40="Moderado"),AND(K40="Media",O40="Leve"),AND(K40="Media",O40="Menor"),AND(K40="Media",O40="Moderado"),AND(K40="Alta",O40="Leve"),AND(K40="Alta",O40="Menor")),"Moderado",IF(OR(AND(K40="Muy Baja",O40="Mayor"),AND(K40="Baja",O40="Mayor"),AND(K40="Media",O40="Mayor"),AND(K40="Alta",O40="Moderado"),AND(K40="Alta",O40="Mayor"),AND(K40="Muy Alta",O40="Leve"),AND(K40="Muy Alta",O40="Menor"),AND(K40="Muy Alta",O40="Moderado"),AND(K40="Muy Alta",O40="Mayor")),"Alto",IF(OR(AND(K40="Muy Baja",O40="Catastrófico"),AND(K40="Baja",O40="Catastrófico"),AND(K40="Media",O40="Catastrófico"),AND(K40="Alta",O40="Catastrófico"),AND(K40="Muy Alta",O40="Catastrófico")),"Extremo",""))))</f>
        <v>Moderado</v>
      </c>
      <c r="R40" s="100">
        <v>1</v>
      </c>
      <c r="S40" s="101" t="s">
        <v>566</v>
      </c>
      <c r="T40" s="102" t="str">
        <f t="shared" si="51"/>
        <v>Probabilidad</v>
      </c>
      <c r="U40" s="103" t="s">
        <v>14</v>
      </c>
      <c r="V40" s="103" t="s">
        <v>9</v>
      </c>
      <c r="W40" s="104" t="str">
        <f t="shared" si="52"/>
        <v>40%</v>
      </c>
      <c r="X40" s="103" t="s">
        <v>19</v>
      </c>
      <c r="Y40" s="103" t="s">
        <v>22</v>
      </c>
      <c r="Z40" s="103" t="s">
        <v>113</v>
      </c>
      <c r="AA40" s="105">
        <f t="shared" si="53"/>
        <v>0.24</v>
      </c>
      <c r="AB40" s="106" t="str">
        <f t="shared" si="54"/>
        <v>Baja</v>
      </c>
      <c r="AC40" s="107">
        <f t="shared" si="55"/>
        <v>0.24</v>
      </c>
      <c r="AD40" s="106" t="str">
        <f t="shared" si="56"/>
        <v>Moderado</v>
      </c>
      <c r="AE40" s="107">
        <f t="shared" si="57"/>
        <v>0.6</v>
      </c>
      <c r="AF40" s="108" t="str">
        <f t="shared" si="58"/>
        <v>Moderado</v>
      </c>
      <c r="AG40" s="109" t="s">
        <v>129</v>
      </c>
      <c r="AH40" s="148" t="s">
        <v>567</v>
      </c>
      <c r="AI40" s="111" t="s">
        <v>291</v>
      </c>
      <c r="AJ40" s="112">
        <v>44440</v>
      </c>
      <c r="AK40" s="112">
        <v>44561</v>
      </c>
      <c r="AL40" s="148" t="s">
        <v>564</v>
      </c>
      <c r="AM40" s="111"/>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row>
    <row r="41" spans="1:71" ht="151.5" customHeight="1" x14ac:dyDescent="0.25">
      <c r="A41" s="212"/>
      <c r="B41" s="214"/>
      <c r="C41" s="227"/>
      <c r="D41" s="227"/>
      <c r="E41" s="218"/>
      <c r="F41" s="218"/>
      <c r="G41" s="218"/>
      <c r="H41" s="220"/>
      <c r="I41" s="218"/>
      <c r="J41" s="222"/>
      <c r="K41" s="202"/>
      <c r="L41" s="205"/>
      <c r="M41" s="208"/>
      <c r="N41" s="150"/>
      <c r="O41" s="202"/>
      <c r="P41" s="205"/>
      <c r="Q41" s="210"/>
      <c r="R41" s="100">
        <v>2</v>
      </c>
      <c r="S41" s="101"/>
      <c r="T41" s="102" t="str">
        <f t="shared" si="51"/>
        <v>Probabilidad</v>
      </c>
      <c r="U41" s="103" t="s">
        <v>15</v>
      </c>
      <c r="V41" s="103" t="s">
        <v>9</v>
      </c>
      <c r="W41" s="104" t="str">
        <f t="shared" si="52"/>
        <v>30%</v>
      </c>
      <c r="X41" s="103" t="s">
        <v>20</v>
      </c>
      <c r="Y41" s="103" t="s">
        <v>23</v>
      </c>
      <c r="Z41" s="103" t="s">
        <v>114</v>
      </c>
      <c r="AA41" s="105">
        <f t="shared" si="53"/>
        <v>0</v>
      </c>
      <c r="AB41" s="106" t="str">
        <f t="shared" si="54"/>
        <v>Muy Baja</v>
      </c>
      <c r="AC41" s="107">
        <f t="shared" si="55"/>
        <v>0</v>
      </c>
      <c r="AD41" s="106" t="str">
        <f t="shared" si="56"/>
        <v>Leve</v>
      </c>
      <c r="AE41" s="107">
        <f t="shared" si="57"/>
        <v>0</v>
      </c>
      <c r="AF41" s="108" t="str">
        <f t="shared" si="58"/>
        <v>Bajo</v>
      </c>
      <c r="AG41" s="109"/>
      <c r="AH41" s="148"/>
      <c r="AI41" s="111"/>
      <c r="AJ41" s="112"/>
      <c r="AK41" s="112"/>
      <c r="AL41" s="148"/>
      <c r="AM41" s="111"/>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row>
    <row r="42" spans="1:71" ht="151.5" customHeight="1" x14ac:dyDescent="0.25">
      <c r="A42" s="231"/>
      <c r="B42" s="215"/>
      <c r="C42" s="227"/>
      <c r="D42" s="227"/>
      <c r="E42" s="218"/>
      <c r="F42" s="218"/>
      <c r="G42" s="218"/>
      <c r="H42" s="220"/>
      <c r="I42" s="218"/>
      <c r="J42" s="222"/>
      <c r="K42" s="203"/>
      <c r="L42" s="206"/>
      <c r="M42" s="208"/>
      <c r="N42" s="150"/>
      <c r="O42" s="203"/>
      <c r="P42" s="206"/>
      <c r="Q42" s="211"/>
      <c r="R42" s="100">
        <v>3</v>
      </c>
      <c r="S42" s="101"/>
      <c r="T42" s="102" t="str">
        <f t="shared" si="51"/>
        <v>Probabilidad</v>
      </c>
      <c r="U42" s="103" t="s">
        <v>15</v>
      </c>
      <c r="V42" s="103" t="s">
        <v>9</v>
      </c>
      <c r="W42" s="104" t="str">
        <f t="shared" si="52"/>
        <v>30%</v>
      </c>
      <c r="X42" s="103" t="s">
        <v>20</v>
      </c>
      <c r="Y42" s="103" t="s">
        <v>23</v>
      </c>
      <c r="Z42" s="103" t="s">
        <v>114</v>
      </c>
      <c r="AA42" s="105">
        <f t="shared" si="53"/>
        <v>0</v>
      </c>
      <c r="AB42" s="106" t="str">
        <f t="shared" si="54"/>
        <v>Muy Baja</v>
      </c>
      <c r="AC42" s="107">
        <f t="shared" si="55"/>
        <v>0</v>
      </c>
      <c r="AD42" s="106" t="str">
        <f t="shared" si="56"/>
        <v>Leve</v>
      </c>
      <c r="AE42" s="107">
        <f t="shared" si="57"/>
        <v>0</v>
      </c>
      <c r="AF42" s="108" t="str">
        <f t="shared" si="58"/>
        <v>Bajo</v>
      </c>
      <c r="AG42" s="109"/>
      <c r="AH42" s="148"/>
      <c r="AI42" s="111"/>
      <c r="AJ42" s="112"/>
      <c r="AK42" s="112"/>
      <c r="AL42" s="148"/>
      <c r="AM42" s="111"/>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row>
    <row r="43" spans="1:71" ht="183.75" customHeight="1" x14ac:dyDescent="0.25">
      <c r="A43" s="216">
        <v>13</v>
      </c>
      <c r="B43" s="213" t="s">
        <v>287</v>
      </c>
      <c r="C43" s="223" t="s">
        <v>546</v>
      </c>
      <c r="D43" s="223" t="s">
        <v>288</v>
      </c>
      <c r="E43" s="217" t="s">
        <v>127</v>
      </c>
      <c r="F43" s="218" t="s">
        <v>292</v>
      </c>
      <c r="G43" s="218" t="s">
        <v>568</v>
      </c>
      <c r="H43" s="219" t="s">
        <v>569</v>
      </c>
      <c r="I43" s="217" t="s">
        <v>462</v>
      </c>
      <c r="J43" s="221">
        <v>2</v>
      </c>
      <c r="K43" s="201" t="str">
        <f>IF(J43&lt;=0,"",IF(J43&lt;=2,"Muy Baja",IF(J43&lt;=24,"Baja",IF(J43&lt;=500,"Media",IF(J43&lt;=5000,"Alta","Muy Alta")))))</f>
        <v>Muy Baja</v>
      </c>
      <c r="L43" s="204">
        <f>IF(K43="","",IF(K43="Muy Baja",0.2,IF(K43="Baja",0.4,IF(K43="Media",0.6,IF(K43="Alta",0.8,IF(K43="Muy Alta",1,))))))</f>
        <v>0.2</v>
      </c>
      <c r="M43" s="207" t="s">
        <v>146</v>
      </c>
      <c r="N43" s="149" t="str">
        <f>IF(NOT(ISERROR(MATCH(M43,'Tabla Impacto'!$B$221:$B$223,0))),'Tabla Impacto'!$F$223&amp;"Por favor no seleccionar los criterios de impacto(Afectación Económica o presupuestal y Pérdida Reputacional)",M43)</f>
        <v xml:space="preserve">     El riesgo afecta la imagen de la entidad con algunos usuarios de relevancia frente al logro de los objetivos</v>
      </c>
      <c r="O43" s="201" t="str">
        <f>IF(OR(N43='Tabla Impacto'!$C$11,N43='Tabla Impacto'!$D$11),"Leve",IF(OR(N43='Tabla Impacto'!$C$12,N43='Tabla Impacto'!$D$12),"Menor",IF(OR(N43='Tabla Impacto'!$C$13,N43='Tabla Impacto'!$D$13),"Moderado",IF(OR(N43='Tabla Impacto'!$C$14,N43='Tabla Impacto'!$D$14),"Mayor",IF(OR(N43='Tabla Impacto'!$C$15,N43='Tabla Impacto'!$D$15),"Catastrófico","")))))</f>
        <v>Moderado</v>
      </c>
      <c r="P43" s="204">
        <f>IF(O43="","",IF(O43="Leve",0.2,IF(O43="Menor",0.4,IF(O43="Moderado",0.6,IF(O43="Mayor",0.8,IF(O43="Catastrófico",1,))))))</f>
        <v>0.6</v>
      </c>
      <c r="Q43" s="209" t="str">
        <f>IF(OR(AND(K43="Muy Baja",O43="Leve"),AND(K43="Muy Baja",O43="Menor"),AND(K43="Baja",O43="Leve")),"Bajo",IF(OR(AND(K43="Muy baja",O43="Moderado"),AND(K43="Baja",O43="Menor"),AND(K43="Baja",O43="Moderado"),AND(K43="Media",O43="Leve"),AND(K43="Media",O43="Menor"),AND(K43="Media",O43="Moderado"),AND(K43="Alta",O43="Leve"),AND(K43="Alta",O43="Menor")),"Moderado",IF(OR(AND(K43="Muy Baja",O43="Mayor"),AND(K43="Baja",O43="Mayor"),AND(K43="Media",O43="Mayor"),AND(K43="Alta",O43="Moderado"),AND(K43="Alta",O43="Mayor"),AND(K43="Muy Alta",O43="Leve"),AND(K43="Muy Alta",O43="Menor"),AND(K43="Muy Alta",O43="Moderado"),AND(K43="Muy Alta",O43="Mayor")),"Alto",IF(OR(AND(K43="Muy Baja",O43="Catastrófico"),AND(K43="Baja",O43="Catastrófico"),AND(K43="Media",O43="Catastrófico"),AND(K43="Alta",O43="Catastrófico"),AND(K43="Muy Alta",O43="Catastrófico")),"Extremo",""))))</f>
        <v>Moderado</v>
      </c>
      <c r="R43" s="100">
        <v>1</v>
      </c>
      <c r="S43" s="101" t="s">
        <v>570</v>
      </c>
      <c r="T43" s="102" t="str">
        <f t="shared" si="51"/>
        <v>Probabilidad</v>
      </c>
      <c r="U43" s="103" t="s">
        <v>14</v>
      </c>
      <c r="V43" s="103" t="s">
        <v>9</v>
      </c>
      <c r="W43" s="104" t="str">
        <f t="shared" si="52"/>
        <v>40%</v>
      </c>
      <c r="X43" s="103" t="s">
        <v>19</v>
      </c>
      <c r="Y43" s="103" t="s">
        <v>22</v>
      </c>
      <c r="Z43" s="103" t="s">
        <v>113</v>
      </c>
      <c r="AA43" s="105">
        <f t="shared" si="53"/>
        <v>0.12</v>
      </c>
      <c r="AB43" s="106" t="str">
        <f t="shared" si="54"/>
        <v>Muy Baja</v>
      </c>
      <c r="AC43" s="107">
        <f t="shared" si="55"/>
        <v>0.12</v>
      </c>
      <c r="AD43" s="106" t="str">
        <f t="shared" si="56"/>
        <v>Moderado</v>
      </c>
      <c r="AE43" s="107">
        <f t="shared" si="57"/>
        <v>0.6</v>
      </c>
      <c r="AF43" s="108" t="str">
        <f t="shared" si="58"/>
        <v>Moderado</v>
      </c>
      <c r="AG43" s="109" t="s">
        <v>129</v>
      </c>
      <c r="AH43" s="148" t="s">
        <v>571</v>
      </c>
      <c r="AI43" s="111" t="s">
        <v>291</v>
      </c>
      <c r="AJ43" s="112">
        <v>44440</v>
      </c>
      <c r="AK43" s="112">
        <v>44561</v>
      </c>
      <c r="AL43" s="148" t="s">
        <v>572</v>
      </c>
      <c r="AM43" s="111"/>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row>
    <row r="44" spans="1:71" ht="151.5" customHeight="1" x14ac:dyDescent="0.25">
      <c r="A44" s="212"/>
      <c r="B44" s="214"/>
      <c r="C44" s="227"/>
      <c r="D44" s="227"/>
      <c r="E44" s="218"/>
      <c r="F44" s="218" t="s">
        <v>292</v>
      </c>
      <c r="G44" s="218" t="s">
        <v>293</v>
      </c>
      <c r="H44" s="220"/>
      <c r="I44" s="218"/>
      <c r="J44" s="222"/>
      <c r="K44" s="202"/>
      <c r="L44" s="205"/>
      <c r="M44" s="208"/>
      <c r="N44" s="150"/>
      <c r="O44" s="202"/>
      <c r="P44" s="205"/>
      <c r="Q44" s="210"/>
      <c r="R44" s="100">
        <v>2</v>
      </c>
      <c r="S44" s="101"/>
      <c r="T44" s="102" t="str">
        <f t="shared" si="51"/>
        <v>Probabilidad</v>
      </c>
      <c r="U44" s="103" t="s">
        <v>15</v>
      </c>
      <c r="V44" s="103" t="s">
        <v>9</v>
      </c>
      <c r="W44" s="104" t="str">
        <f t="shared" si="52"/>
        <v>30%</v>
      </c>
      <c r="X44" s="103" t="s">
        <v>20</v>
      </c>
      <c r="Y44" s="103" t="s">
        <v>23</v>
      </c>
      <c r="Z44" s="103" t="s">
        <v>114</v>
      </c>
      <c r="AA44" s="105">
        <f t="shared" si="53"/>
        <v>0</v>
      </c>
      <c r="AB44" s="106" t="str">
        <f t="shared" si="54"/>
        <v>Muy Baja</v>
      </c>
      <c r="AC44" s="107">
        <f t="shared" si="55"/>
        <v>0</v>
      </c>
      <c r="AD44" s="106" t="str">
        <f t="shared" si="56"/>
        <v>Leve</v>
      </c>
      <c r="AE44" s="107">
        <f t="shared" si="57"/>
        <v>0</v>
      </c>
      <c r="AF44" s="108" t="str">
        <f t="shared" si="58"/>
        <v>Bajo</v>
      </c>
      <c r="AG44" s="109"/>
      <c r="AH44" s="148"/>
      <c r="AI44" s="111"/>
      <c r="AJ44" s="112"/>
      <c r="AK44" s="112"/>
      <c r="AL44" s="148"/>
      <c r="AM44" s="111"/>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row>
    <row r="45" spans="1:71" ht="151.5" customHeight="1" x14ac:dyDescent="0.25">
      <c r="A45" s="212"/>
      <c r="B45" s="215"/>
      <c r="C45" s="227"/>
      <c r="D45" s="227"/>
      <c r="E45" s="218"/>
      <c r="F45" s="218" t="s">
        <v>292</v>
      </c>
      <c r="G45" s="218" t="s">
        <v>293</v>
      </c>
      <c r="H45" s="220"/>
      <c r="I45" s="218"/>
      <c r="J45" s="222"/>
      <c r="K45" s="203"/>
      <c r="L45" s="206"/>
      <c r="M45" s="208"/>
      <c r="N45" s="150"/>
      <c r="O45" s="203"/>
      <c r="P45" s="206"/>
      <c r="Q45" s="211"/>
      <c r="R45" s="100">
        <v>3</v>
      </c>
      <c r="S45" s="101"/>
      <c r="T45" s="102" t="str">
        <f t="shared" si="51"/>
        <v>Probabilidad</v>
      </c>
      <c r="U45" s="103" t="s">
        <v>15</v>
      </c>
      <c r="V45" s="103" t="s">
        <v>9</v>
      </c>
      <c r="W45" s="104" t="str">
        <f t="shared" si="52"/>
        <v>30%</v>
      </c>
      <c r="X45" s="103" t="s">
        <v>20</v>
      </c>
      <c r="Y45" s="103" t="s">
        <v>23</v>
      </c>
      <c r="Z45" s="103" t="s">
        <v>114</v>
      </c>
      <c r="AA45" s="105">
        <f t="shared" si="53"/>
        <v>0</v>
      </c>
      <c r="AB45" s="106" t="str">
        <f t="shared" si="54"/>
        <v>Muy Baja</v>
      </c>
      <c r="AC45" s="107">
        <f t="shared" si="55"/>
        <v>0</v>
      </c>
      <c r="AD45" s="106" t="str">
        <f t="shared" si="56"/>
        <v>Leve</v>
      </c>
      <c r="AE45" s="107">
        <f t="shared" si="57"/>
        <v>0</v>
      </c>
      <c r="AF45" s="108" t="str">
        <f t="shared" si="58"/>
        <v>Bajo</v>
      </c>
      <c r="AG45" s="109"/>
      <c r="AH45" s="148"/>
      <c r="AI45" s="111"/>
      <c r="AJ45" s="112"/>
      <c r="AK45" s="112"/>
      <c r="AL45" s="148"/>
      <c r="AM45" s="111"/>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row>
    <row r="46" spans="1:71" ht="151.5" customHeight="1" x14ac:dyDescent="0.25">
      <c r="A46" s="212">
        <v>14</v>
      </c>
      <c r="B46" s="213" t="s">
        <v>294</v>
      </c>
      <c r="C46" s="223" t="s">
        <v>295</v>
      </c>
      <c r="D46" s="223" t="s">
        <v>303</v>
      </c>
      <c r="E46" s="217" t="s">
        <v>127</v>
      </c>
      <c r="F46" s="225" t="s">
        <v>296</v>
      </c>
      <c r="G46" s="225" t="s">
        <v>297</v>
      </c>
      <c r="H46" s="219" t="s">
        <v>298</v>
      </c>
      <c r="I46" s="217" t="s">
        <v>462</v>
      </c>
      <c r="J46" s="221">
        <v>12</v>
      </c>
      <c r="K46" s="201" t="str">
        <f>IF(J46&lt;=0,"",IF(J46&lt;=2,"Muy Baja",IF(J46&lt;=24,"Baja",IF(J46&lt;=500,"Media",IF(J46&lt;=5000,"Alta","Muy Alta")))))</f>
        <v>Baja</v>
      </c>
      <c r="L46" s="204">
        <f>IF(K46="","",IF(K46="Muy Baja",0.2,IF(K46="Baja",0.4,IF(K46="Media",0.6,IF(K46="Alta",0.8,IF(K46="Muy Alta",1,))))))</f>
        <v>0.4</v>
      </c>
      <c r="M46" s="207" t="s">
        <v>146</v>
      </c>
      <c r="N46" s="149" t="str">
        <f>IF(NOT(ISERROR(MATCH(M46,'Tabla Impacto'!$B$221:$B$223,0))),'Tabla Impacto'!$F$223&amp;"Por favor no seleccionar los criterios de impacto(Afectación Económica o presupuestal y Pérdida Reputacional)",M46)</f>
        <v xml:space="preserve">     El riesgo afecta la imagen de la entidad con algunos usuarios de relevancia frente al logro de los objetivos</v>
      </c>
      <c r="O46" s="201" t="str">
        <f>IF(OR(N46='Tabla Impacto'!$C$11,N46='Tabla Impacto'!$D$11),"Leve",IF(OR(N46='Tabla Impacto'!$C$12,N46='Tabla Impacto'!$D$12),"Menor",IF(OR(N46='Tabla Impacto'!$C$13,N46='Tabla Impacto'!$D$13),"Moderado",IF(OR(N46='Tabla Impacto'!$C$14,N46='Tabla Impacto'!$D$14),"Mayor",IF(OR(N46='Tabla Impacto'!$C$15,N46='Tabla Impacto'!$D$15),"Catastrófico","")))))</f>
        <v>Moderado</v>
      </c>
      <c r="P46" s="204">
        <f>IF(O46="","",IF(O46="Leve",0.2,IF(O46="Menor",0.4,IF(O46="Moderado",0.6,IF(O46="Mayor",0.8,IF(O46="Catastrófico",1,))))))</f>
        <v>0.6</v>
      </c>
      <c r="Q46" s="209" t="str">
        <f>IF(OR(AND(K46="Muy Baja",O46="Leve"),AND(K46="Muy Baja",O46="Menor"),AND(K46="Baja",O46="Leve")),"Bajo",IF(OR(AND(K46="Muy baja",O46="Moderado"),AND(K46="Baja",O46="Menor"),AND(K46="Baja",O46="Moderado"),AND(K46="Media",O46="Leve"),AND(K46="Media",O46="Menor"),AND(K46="Media",O46="Moderado"),AND(K46="Alta",O46="Leve"),AND(K46="Alta",O46="Menor")),"Moderado",IF(OR(AND(K46="Muy Baja",O46="Mayor"),AND(K46="Baja",O46="Mayor"),AND(K46="Media",O46="Mayor"),AND(K46="Alta",O46="Moderado"),AND(K46="Alta",O46="Mayor"),AND(K46="Muy Alta",O46="Leve"),AND(K46="Muy Alta",O46="Menor"),AND(K46="Muy Alta",O46="Moderado"),AND(K46="Muy Alta",O46="Mayor")),"Alto",IF(OR(AND(K46="Muy Baja",O46="Catastrófico"),AND(K46="Baja",O46="Catastrófico"),AND(K46="Media",O46="Catastrófico"),AND(K46="Alta",O46="Catastrófico"),AND(K46="Muy Alta",O46="Catastrófico")),"Extremo",""))))</f>
        <v>Moderado</v>
      </c>
      <c r="R46" s="100">
        <v>1</v>
      </c>
      <c r="S46" s="101" t="s">
        <v>299</v>
      </c>
      <c r="T46" s="102" t="str">
        <f t="shared" si="51"/>
        <v>Probabilidad</v>
      </c>
      <c r="U46" s="103" t="s">
        <v>14</v>
      </c>
      <c r="V46" s="103" t="s">
        <v>9</v>
      </c>
      <c r="W46" s="104" t="str">
        <f t="shared" si="52"/>
        <v>40%</v>
      </c>
      <c r="X46" s="103" t="s">
        <v>19</v>
      </c>
      <c r="Y46" s="103" t="s">
        <v>22</v>
      </c>
      <c r="Z46" s="103" t="s">
        <v>113</v>
      </c>
      <c r="AA46" s="105">
        <f t="shared" si="53"/>
        <v>0.24</v>
      </c>
      <c r="AB46" s="106" t="str">
        <f t="shared" si="54"/>
        <v>Baja</v>
      </c>
      <c r="AC46" s="107">
        <f t="shared" si="55"/>
        <v>0.24</v>
      </c>
      <c r="AD46" s="106" t="str">
        <f t="shared" si="56"/>
        <v>Moderado</v>
      </c>
      <c r="AE46" s="107">
        <f t="shared" si="57"/>
        <v>0.6</v>
      </c>
      <c r="AF46" s="108" t="str">
        <f t="shared" si="58"/>
        <v>Moderado</v>
      </c>
      <c r="AG46" s="109"/>
      <c r="AH46" s="148" t="s">
        <v>300</v>
      </c>
      <c r="AI46" s="111" t="s">
        <v>233</v>
      </c>
      <c r="AJ46" s="112">
        <v>44378</v>
      </c>
      <c r="AK46" s="112">
        <v>44561</v>
      </c>
      <c r="AL46" s="148" t="s">
        <v>301</v>
      </c>
      <c r="AM46" s="111"/>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row>
    <row r="47" spans="1:71" ht="151.5" customHeight="1" x14ac:dyDescent="0.25">
      <c r="A47" s="212"/>
      <c r="B47" s="214"/>
      <c r="C47" s="227"/>
      <c r="D47" s="224"/>
      <c r="E47" s="218"/>
      <c r="F47" s="218"/>
      <c r="G47" s="218"/>
      <c r="H47" s="220"/>
      <c r="I47" s="218"/>
      <c r="J47" s="222"/>
      <c r="K47" s="202"/>
      <c r="L47" s="205"/>
      <c r="M47" s="208"/>
      <c r="N47" s="150"/>
      <c r="O47" s="202"/>
      <c r="P47" s="205"/>
      <c r="Q47" s="210"/>
      <c r="R47" s="100">
        <v>2</v>
      </c>
      <c r="S47" s="101" t="s">
        <v>240</v>
      </c>
      <c r="T47" s="102" t="str">
        <f t="shared" si="51"/>
        <v>Probabilidad</v>
      </c>
      <c r="U47" s="103" t="s">
        <v>14</v>
      </c>
      <c r="V47" s="103" t="s">
        <v>9</v>
      </c>
      <c r="W47" s="104" t="str">
        <f t="shared" si="52"/>
        <v>40%</v>
      </c>
      <c r="X47" s="103" t="s">
        <v>19</v>
      </c>
      <c r="Y47" s="103" t="s">
        <v>22</v>
      </c>
      <c r="Z47" s="103" t="s">
        <v>113</v>
      </c>
      <c r="AA47" s="141">
        <f t="shared" si="53"/>
        <v>0</v>
      </c>
      <c r="AB47" s="106" t="str">
        <f t="shared" si="54"/>
        <v>Muy Baja</v>
      </c>
      <c r="AC47" s="107">
        <f t="shared" si="55"/>
        <v>0</v>
      </c>
      <c r="AD47" s="106" t="str">
        <f t="shared" si="56"/>
        <v>Leve</v>
      </c>
      <c r="AE47" s="107">
        <f t="shared" si="57"/>
        <v>0</v>
      </c>
      <c r="AF47" s="108" t="str">
        <f t="shared" si="58"/>
        <v>Bajo</v>
      </c>
      <c r="AG47" s="109" t="s">
        <v>129</v>
      </c>
      <c r="AH47" s="148" t="s">
        <v>302</v>
      </c>
      <c r="AI47" s="111" t="s">
        <v>233</v>
      </c>
      <c r="AJ47" s="112">
        <v>44378</v>
      </c>
      <c r="AK47" s="112">
        <v>44561</v>
      </c>
      <c r="AL47" s="148" t="s">
        <v>301</v>
      </c>
      <c r="AM47" s="111"/>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row>
    <row r="48" spans="1:71" ht="151.5" customHeight="1" x14ac:dyDescent="0.25">
      <c r="A48" s="212"/>
      <c r="B48" s="215"/>
      <c r="C48" s="227"/>
      <c r="D48" s="224"/>
      <c r="E48" s="218"/>
      <c r="F48" s="218"/>
      <c r="G48" s="218"/>
      <c r="H48" s="220"/>
      <c r="I48" s="218"/>
      <c r="J48" s="222"/>
      <c r="K48" s="203"/>
      <c r="L48" s="206"/>
      <c r="M48" s="208"/>
      <c r="N48" s="150"/>
      <c r="O48" s="203"/>
      <c r="P48" s="206"/>
      <c r="Q48" s="211"/>
      <c r="R48" s="100">
        <v>3</v>
      </c>
      <c r="S48" s="101"/>
      <c r="T48" s="102" t="str">
        <f t="shared" si="51"/>
        <v>Probabilidad</v>
      </c>
      <c r="U48" s="103" t="s">
        <v>15</v>
      </c>
      <c r="V48" s="103" t="s">
        <v>9</v>
      </c>
      <c r="W48" s="104" t="str">
        <f t="shared" si="52"/>
        <v>30%</v>
      </c>
      <c r="X48" s="103" t="s">
        <v>20</v>
      </c>
      <c r="Y48" s="103" t="s">
        <v>23</v>
      </c>
      <c r="Z48" s="103" t="s">
        <v>114</v>
      </c>
      <c r="AA48" s="105">
        <f t="shared" si="53"/>
        <v>0</v>
      </c>
      <c r="AB48" s="106" t="str">
        <f t="shared" si="54"/>
        <v>Muy Baja</v>
      </c>
      <c r="AC48" s="107">
        <f t="shared" si="55"/>
        <v>0</v>
      </c>
      <c r="AD48" s="106" t="str">
        <f t="shared" si="56"/>
        <v>Leve</v>
      </c>
      <c r="AE48" s="107">
        <f t="shared" si="57"/>
        <v>0</v>
      </c>
      <c r="AF48" s="108" t="str">
        <f t="shared" si="58"/>
        <v>Bajo</v>
      </c>
      <c r="AG48" s="109"/>
      <c r="AH48" s="148"/>
      <c r="AI48" s="111"/>
      <c r="AJ48" s="112"/>
      <c r="AK48" s="112"/>
      <c r="AL48" s="148"/>
      <c r="AM48" s="111"/>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row>
    <row r="49" spans="1:71" ht="151.5" customHeight="1" x14ac:dyDescent="0.25">
      <c r="A49" s="212">
        <v>15</v>
      </c>
      <c r="B49" s="213" t="s">
        <v>294</v>
      </c>
      <c r="C49" s="223" t="s">
        <v>295</v>
      </c>
      <c r="D49" s="223" t="s">
        <v>303</v>
      </c>
      <c r="E49" s="217" t="s">
        <v>127</v>
      </c>
      <c r="F49" s="217" t="s">
        <v>304</v>
      </c>
      <c r="G49" s="225" t="s">
        <v>305</v>
      </c>
      <c r="H49" s="219" t="s">
        <v>306</v>
      </c>
      <c r="I49" s="217" t="s">
        <v>462</v>
      </c>
      <c r="J49" s="221">
        <v>900</v>
      </c>
      <c r="K49" s="201" t="str">
        <f>IF(J49&lt;=0,"",IF(J49&lt;=2,"Muy Baja",IF(J49&lt;=24,"Baja",IF(J49&lt;=500,"Media",IF(J49&lt;=5000,"Alta","Muy Alta")))))</f>
        <v>Alta</v>
      </c>
      <c r="L49" s="204">
        <f>IF(K49="","",IF(K49="Muy Baja",0.2,IF(K49="Baja",0.4,IF(K49="Media",0.6,IF(K49="Alta",0.8,IF(K49="Muy Alta",1,))))))</f>
        <v>0.8</v>
      </c>
      <c r="M49" s="207" t="s">
        <v>146</v>
      </c>
      <c r="N49" s="149" t="str">
        <f>IF(NOT(ISERROR(MATCH(M49,'Tabla Impacto'!$B$221:$B$223,0))),'Tabla Impacto'!$F$223&amp;"Por favor no seleccionar los criterios de impacto(Afectación Económica o presupuestal y Pérdida Reputacional)",M49)</f>
        <v xml:space="preserve">     El riesgo afecta la imagen de la entidad con algunos usuarios de relevancia frente al logro de los objetivos</v>
      </c>
      <c r="O49" s="201" t="str">
        <f>IF(OR(N49='Tabla Impacto'!$C$11,N49='Tabla Impacto'!$D$11),"Leve",IF(OR(N49='Tabla Impacto'!$C$12,N49='Tabla Impacto'!$D$12),"Menor",IF(OR(N49='Tabla Impacto'!$C$13,N49='Tabla Impacto'!$D$13),"Moderado",IF(OR(N49='Tabla Impacto'!$C$14,N49='Tabla Impacto'!$D$14),"Mayor",IF(OR(N49='Tabla Impacto'!$C$15,N49='Tabla Impacto'!$D$15),"Catastrófico","")))))</f>
        <v>Moderado</v>
      </c>
      <c r="P49" s="204">
        <f>IF(O49="","",IF(O49="Leve",0.2,IF(O49="Menor",0.4,IF(O49="Moderado",0.6,IF(O49="Mayor",0.8,IF(O49="Catastrófico",1,))))))</f>
        <v>0.6</v>
      </c>
      <c r="Q49" s="209" t="str">
        <f>IF(OR(AND(K49="Muy Baja",O49="Leve"),AND(K49="Muy Baja",O49="Menor"),AND(K49="Baja",O49="Leve")),"Bajo",IF(OR(AND(K49="Muy baja",O49="Moderado"),AND(K49="Baja",O49="Menor"),AND(K49="Baja",O49="Moderado"),AND(K49="Media",O49="Leve"),AND(K49="Media",O49="Menor"),AND(K49="Media",O49="Moderado"),AND(K49="Alta",O49="Leve"),AND(K49="Alta",O49="Menor")),"Moderado",IF(OR(AND(K49="Muy Baja",O49="Mayor"),AND(K49="Baja",O49="Mayor"),AND(K49="Media",O49="Mayor"),AND(K49="Alta",O49="Moderado"),AND(K49="Alta",O49="Mayor"),AND(K49="Muy Alta",O49="Leve"),AND(K49="Muy Alta",O49="Menor"),AND(K49="Muy Alta",O49="Moderado"),AND(K49="Muy Alta",O49="Mayor")),"Alto",IF(OR(AND(K49="Muy Baja",O49="Catastrófico"),AND(K49="Baja",O49="Catastrófico"),AND(K49="Media",O49="Catastrófico"),AND(K49="Alta",O49="Catastrófico"),AND(K49="Muy Alta",O49="Catastrófico")),"Extremo",""))))</f>
        <v>Alto</v>
      </c>
      <c r="R49" s="100">
        <v>1</v>
      </c>
      <c r="S49" s="101" t="s">
        <v>307</v>
      </c>
      <c r="T49" s="102" t="str">
        <f t="shared" ref="T49:T51" si="59">IF(OR(U49="Preventivo",U49="Detectivo"),"Probabilidad",IF(U49="Correctivo","Impacto",""))</f>
        <v>Probabilidad</v>
      </c>
      <c r="U49" s="103" t="s">
        <v>14</v>
      </c>
      <c r="V49" s="103" t="s">
        <v>9</v>
      </c>
      <c r="W49" s="104" t="str">
        <f t="shared" ref="W49:W51" si="60">IF(AND(U49="Preventivo",V49="Automático"),"50%",IF(AND(U49="Preventivo",V49="Manual"),"40%",IF(AND(U49="Detectivo",V49="Automático"),"40%",IF(AND(U49="Detectivo",V49="Manual"),"30%",IF(AND(U49="Correctivo",V49="Automático"),"35%",IF(AND(U49="Correctivo",V49="Manual"),"25%",""))))))</f>
        <v>40%</v>
      </c>
      <c r="X49" s="103" t="s">
        <v>19</v>
      </c>
      <c r="Y49" s="103" t="s">
        <v>22</v>
      </c>
      <c r="Z49" s="103" t="s">
        <v>113</v>
      </c>
      <c r="AA49" s="105">
        <f t="shared" ref="AA49:AA51" si="61">IFERROR(IF(T49="Probabilidad",(L49-(+L49*W49)),IF(T49="Impacto",L49,"")),"")</f>
        <v>0.48</v>
      </c>
      <c r="AB49" s="106" t="str">
        <f t="shared" ref="AB49:AB51" si="62">IFERROR(IF(AA49="","",IF(AA49&lt;=0.2,"Muy Baja",IF(AA49&lt;=0.4,"Baja",IF(AA49&lt;=0.6,"Media",IF(AA49&lt;=0.8,"Alta","Muy Alta"))))),"")</f>
        <v>Media</v>
      </c>
      <c r="AC49" s="107">
        <f t="shared" ref="AC49:AC51" si="63">+AA49</f>
        <v>0.48</v>
      </c>
      <c r="AD49" s="106" t="str">
        <f t="shared" ref="AD49:AD51" si="64">IFERROR(IF(AE49="","",IF(AE49&lt;=0.2,"Leve",IF(AE49&lt;=0.4,"Menor",IF(AE49&lt;=0.6,"Moderado",IF(AE49&lt;=0.8,"Mayor","Catastrófico"))))),"")</f>
        <v>Moderado</v>
      </c>
      <c r="AE49" s="107">
        <f t="shared" ref="AE49:AE51" si="65">IFERROR(IF(T49="Impacto",(P49-(+P49*W49)),IF(T49="Probabilidad",P49,"")),"")</f>
        <v>0.6</v>
      </c>
      <c r="AF49" s="108" t="str">
        <f t="shared" ref="AF49:AF51" si="66">IFERROR(IF(OR(AND(AB49="Muy Baja",AD49="Leve"),AND(AB49="Muy Baja",AD49="Menor"),AND(AB49="Baja",AD49="Leve")),"Bajo",IF(OR(AND(AB49="Muy baja",AD49="Moderado"),AND(AB49="Baja",AD49="Menor"),AND(AB49="Baja",AD49="Moderado"),AND(AB49="Media",AD49="Leve"),AND(AB49="Media",AD49="Menor"),AND(AB49="Media",AD49="Moderado"),AND(AB49="Alta",AD49="Leve"),AND(AB49="Alta",AD49="Menor")),"Moderado",IF(OR(AND(AB49="Muy Baja",AD49="Mayor"),AND(AB49="Baja",AD49="Mayor"),AND(AB49="Media",AD49="Mayor"),AND(AB49="Alta",AD49="Moderado"),AND(AB49="Alta",AD49="Mayor"),AND(AB49="Muy Alta",AD49="Leve"),AND(AB49="Muy Alta",AD49="Menor"),AND(AB49="Muy Alta",AD49="Moderado"),AND(AB49="Muy Alta",AD49="Mayor")),"Alto",IF(OR(AND(AB49="Muy Baja",AD49="Catastrófico"),AND(AB49="Baja",AD49="Catastrófico"),AND(AB49="Media",AD49="Catastrófico"),AND(AB49="Alta",AD49="Catastrófico"),AND(AB49="Muy Alta",AD49="Catastrófico")),"Extremo","")))),"")</f>
        <v>Moderado</v>
      </c>
      <c r="AG49" s="109" t="s">
        <v>129</v>
      </c>
      <c r="AH49" s="148" t="s">
        <v>308</v>
      </c>
      <c r="AI49" s="111" t="s">
        <v>233</v>
      </c>
      <c r="AJ49" s="112">
        <v>44378</v>
      </c>
      <c r="AK49" s="112">
        <v>44561</v>
      </c>
      <c r="AL49" s="148" t="s">
        <v>309</v>
      </c>
      <c r="AM49" s="111"/>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row>
    <row r="50" spans="1:71" ht="151.5" customHeight="1" x14ac:dyDescent="0.25">
      <c r="A50" s="212"/>
      <c r="B50" s="214"/>
      <c r="C50" s="227"/>
      <c r="D50" s="224"/>
      <c r="E50" s="218"/>
      <c r="F50" s="218"/>
      <c r="G50" s="218"/>
      <c r="H50" s="220"/>
      <c r="I50" s="218"/>
      <c r="J50" s="222"/>
      <c r="K50" s="202"/>
      <c r="L50" s="205"/>
      <c r="M50" s="208"/>
      <c r="N50" s="150"/>
      <c r="O50" s="202"/>
      <c r="P50" s="205"/>
      <c r="Q50" s="210"/>
      <c r="R50" s="100">
        <v>2</v>
      </c>
      <c r="S50" s="101"/>
      <c r="T50" s="102" t="str">
        <f t="shared" si="59"/>
        <v>Probabilidad</v>
      </c>
      <c r="U50" s="103" t="s">
        <v>15</v>
      </c>
      <c r="V50" s="103" t="s">
        <v>9</v>
      </c>
      <c r="W50" s="104" t="str">
        <f t="shared" si="60"/>
        <v>30%</v>
      </c>
      <c r="X50" s="103" t="s">
        <v>20</v>
      </c>
      <c r="Y50" s="103" t="s">
        <v>23</v>
      </c>
      <c r="Z50" s="103" t="s">
        <v>114</v>
      </c>
      <c r="AA50" s="105">
        <f t="shared" si="61"/>
        <v>0</v>
      </c>
      <c r="AB50" s="106" t="str">
        <f t="shared" si="62"/>
        <v>Muy Baja</v>
      </c>
      <c r="AC50" s="107">
        <f t="shared" si="63"/>
        <v>0</v>
      </c>
      <c r="AD50" s="106" t="str">
        <f t="shared" si="64"/>
        <v>Leve</v>
      </c>
      <c r="AE50" s="107">
        <f t="shared" si="65"/>
        <v>0</v>
      </c>
      <c r="AF50" s="108" t="str">
        <f t="shared" si="66"/>
        <v>Bajo</v>
      </c>
      <c r="AG50" s="109"/>
      <c r="AH50" s="148"/>
      <c r="AI50" s="111"/>
      <c r="AJ50" s="112"/>
      <c r="AK50" s="112"/>
      <c r="AL50" s="148"/>
      <c r="AM50" s="111"/>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row>
    <row r="51" spans="1:71" ht="151.5" customHeight="1" x14ac:dyDescent="0.25">
      <c r="A51" s="212"/>
      <c r="B51" s="215"/>
      <c r="C51" s="227"/>
      <c r="D51" s="224"/>
      <c r="E51" s="218"/>
      <c r="F51" s="218"/>
      <c r="G51" s="218"/>
      <c r="H51" s="220"/>
      <c r="I51" s="218"/>
      <c r="J51" s="222"/>
      <c r="K51" s="203"/>
      <c r="L51" s="206"/>
      <c r="M51" s="208"/>
      <c r="N51" s="150"/>
      <c r="O51" s="203"/>
      <c r="P51" s="206"/>
      <c r="Q51" s="211"/>
      <c r="R51" s="100">
        <v>3</v>
      </c>
      <c r="S51" s="101"/>
      <c r="T51" s="102" t="str">
        <f t="shared" si="59"/>
        <v>Probabilidad</v>
      </c>
      <c r="U51" s="103" t="s">
        <v>15</v>
      </c>
      <c r="V51" s="103" t="s">
        <v>9</v>
      </c>
      <c r="W51" s="104" t="str">
        <f t="shared" si="60"/>
        <v>30%</v>
      </c>
      <c r="X51" s="103" t="s">
        <v>20</v>
      </c>
      <c r="Y51" s="103" t="s">
        <v>23</v>
      </c>
      <c r="Z51" s="103" t="s">
        <v>114</v>
      </c>
      <c r="AA51" s="105">
        <f t="shared" si="61"/>
        <v>0</v>
      </c>
      <c r="AB51" s="106" t="str">
        <f t="shared" si="62"/>
        <v>Muy Baja</v>
      </c>
      <c r="AC51" s="107">
        <f t="shared" si="63"/>
        <v>0</v>
      </c>
      <c r="AD51" s="106" t="str">
        <f t="shared" si="64"/>
        <v>Leve</v>
      </c>
      <c r="AE51" s="107">
        <f t="shared" si="65"/>
        <v>0</v>
      </c>
      <c r="AF51" s="108" t="str">
        <f t="shared" si="66"/>
        <v>Bajo</v>
      </c>
      <c r="AG51" s="109"/>
      <c r="AH51" s="148"/>
      <c r="AI51" s="111"/>
      <c r="AJ51" s="112"/>
      <c r="AK51" s="112"/>
      <c r="AL51" s="148"/>
      <c r="AM51" s="111"/>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row>
    <row r="52" spans="1:71" ht="151.5" customHeight="1" x14ac:dyDescent="0.25">
      <c r="A52" s="212">
        <v>16</v>
      </c>
      <c r="B52" s="213" t="s">
        <v>294</v>
      </c>
      <c r="C52" s="223" t="s">
        <v>295</v>
      </c>
      <c r="D52" s="223" t="s">
        <v>303</v>
      </c>
      <c r="E52" s="217" t="s">
        <v>125</v>
      </c>
      <c r="F52" s="217" t="s">
        <v>310</v>
      </c>
      <c r="G52" s="217" t="s">
        <v>311</v>
      </c>
      <c r="H52" s="219" t="s">
        <v>559</v>
      </c>
      <c r="I52" s="217" t="s">
        <v>119</v>
      </c>
      <c r="J52" s="221" t="s">
        <v>312</v>
      </c>
      <c r="K52" s="201" t="str">
        <f>IF(J52&lt;=0,"",IF(J52&lt;=2,"Muy Baja",IF(J52&lt;=24,"Baja",IF(J52&lt;=500,"Media",IF(J52&lt;=5000,"Alta","Muy Alta")))))</f>
        <v>Muy Alta</v>
      </c>
      <c r="L52" s="204">
        <f>IF(K52="","",IF(K52="Muy Baja",0.2,IF(K52="Baja",0.4,IF(K52="Media",0.6,IF(K52="Alta",0.8,IF(K52="Muy Alta",1,))))))</f>
        <v>1</v>
      </c>
      <c r="M52" s="207" t="s">
        <v>145</v>
      </c>
      <c r="N52" s="149" t="str">
        <f>IF(NOT(ISERROR(MATCH(M52,'Tabla Impacto'!$B$221:$B$223,0))),'Tabla Impacto'!$F$223&amp;"Por favor no seleccionar los criterios de impacto(Afectación Económica o presupuestal y Pérdida Reputacional)",M52)</f>
        <v xml:space="preserve">     El riesgo afecta la imagen de la entidad internamente, de conocimiento general, nivel interno, de junta dircetiva y accionistas y/o de provedores</v>
      </c>
      <c r="O52" s="201" t="str">
        <f>IF(OR(N52='Tabla Impacto'!$C$11,N52='Tabla Impacto'!$D$11),"Leve",IF(OR(N52='Tabla Impacto'!$C$12,N52='Tabla Impacto'!$D$12),"Menor",IF(OR(N52='Tabla Impacto'!$C$13,N52='Tabla Impacto'!$D$13),"Moderado",IF(OR(N52='Tabla Impacto'!$C$14,N52='Tabla Impacto'!$D$14),"Mayor",IF(OR(N52='Tabla Impacto'!$C$15,N52='Tabla Impacto'!$D$15),"Catastrófico","")))))</f>
        <v>Menor</v>
      </c>
      <c r="P52" s="204">
        <f>IF(O52="","",IF(O52="Leve",0.2,IF(O52="Menor",0.4,IF(O52="Moderado",0.6,IF(O52="Mayor",0.8,IF(O52="Catastrófico",1,))))))</f>
        <v>0.4</v>
      </c>
      <c r="Q52" s="209" t="str">
        <f>IF(OR(AND(K52="Muy Baja",O52="Leve"),AND(K52="Muy Baja",O52="Menor"),AND(K52="Baja",O52="Leve")),"Bajo",IF(OR(AND(K52="Muy baja",O52="Moderado"),AND(K52="Baja",O52="Menor"),AND(K52="Baja",O52="Moderado"),AND(K52="Media",O52="Leve"),AND(K52="Media",O52="Menor"),AND(K52="Media",O52="Moderado"),AND(K52="Alta",O52="Leve"),AND(K52="Alta",O52="Menor")),"Moderado",IF(OR(AND(K52="Muy Baja",O52="Mayor"),AND(K52="Baja",O52="Mayor"),AND(K52="Media",O52="Mayor"),AND(K52="Alta",O52="Moderado"),AND(K52="Alta",O52="Mayor"),AND(K52="Muy Alta",O52="Leve"),AND(K52="Muy Alta",O52="Menor"),AND(K52="Muy Alta",O52="Moderado"),AND(K52="Muy Alta",O52="Mayor")),"Alto",IF(OR(AND(K52="Muy Baja",O52="Catastrófico"),AND(K52="Baja",O52="Catastrófico"),AND(K52="Media",O52="Catastrófico"),AND(K52="Alta",O52="Catastrófico"),AND(K52="Muy Alta",O52="Catastrófico")),"Extremo",""))))</f>
        <v>Alto</v>
      </c>
      <c r="R52" s="100">
        <v>1</v>
      </c>
      <c r="S52" s="101" t="s">
        <v>313</v>
      </c>
      <c r="T52" s="102" t="str">
        <f t="shared" si="27"/>
        <v>Probabilidad</v>
      </c>
      <c r="U52" s="103" t="s">
        <v>14</v>
      </c>
      <c r="V52" s="103" t="s">
        <v>9</v>
      </c>
      <c r="W52" s="104" t="str">
        <f t="shared" si="28"/>
        <v>40%</v>
      </c>
      <c r="X52" s="103" t="s">
        <v>19</v>
      </c>
      <c r="Y52" s="103" t="s">
        <v>22</v>
      </c>
      <c r="Z52" s="103" t="s">
        <v>113</v>
      </c>
      <c r="AA52" s="105">
        <f t="shared" si="33"/>
        <v>0.6</v>
      </c>
      <c r="AB52" s="106" t="str">
        <f t="shared" si="29"/>
        <v>Media</v>
      </c>
      <c r="AC52" s="107">
        <f t="shared" si="30"/>
        <v>0.6</v>
      </c>
      <c r="AD52" s="106" t="str">
        <f t="shared" si="31"/>
        <v>Menor</v>
      </c>
      <c r="AE52" s="107">
        <f t="shared" si="34"/>
        <v>0.4</v>
      </c>
      <c r="AF52" s="108" t="str">
        <f t="shared" si="32"/>
        <v>Moderado</v>
      </c>
      <c r="AG52" s="109" t="s">
        <v>129</v>
      </c>
      <c r="AH52" s="144" t="s">
        <v>314</v>
      </c>
      <c r="AI52" s="111" t="s">
        <v>315</v>
      </c>
      <c r="AJ52" s="112">
        <v>44378</v>
      </c>
      <c r="AK52" s="112">
        <v>44561</v>
      </c>
      <c r="AL52" s="148" t="s">
        <v>309</v>
      </c>
      <c r="AM52" s="111"/>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row>
    <row r="53" spans="1:71" ht="151.5" customHeight="1" x14ac:dyDescent="0.25">
      <c r="A53" s="212"/>
      <c r="B53" s="214"/>
      <c r="C53" s="227"/>
      <c r="D53" s="224"/>
      <c r="E53" s="218"/>
      <c r="F53" s="218"/>
      <c r="G53" s="218"/>
      <c r="H53" s="220"/>
      <c r="I53" s="218"/>
      <c r="J53" s="222"/>
      <c r="K53" s="202"/>
      <c r="L53" s="205"/>
      <c r="M53" s="208"/>
      <c r="N53" s="150"/>
      <c r="O53" s="202"/>
      <c r="P53" s="205"/>
      <c r="Q53" s="210"/>
      <c r="R53" s="100">
        <v>2</v>
      </c>
      <c r="S53" s="101"/>
      <c r="T53" s="102" t="str">
        <f t="shared" ref="T53:T54" si="67">IF(OR(U53="Preventivo",U53="Detectivo"),"Probabilidad",IF(U53="Correctivo","Impacto",""))</f>
        <v>Probabilidad</v>
      </c>
      <c r="U53" s="103" t="s">
        <v>15</v>
      </c>
      <c r="V53" s="103" t="s">
        <v>9</v>
      </c>
      <c r="W53" s="104" t="str">
        <f t="shared" ref="W53:W54" si="68">IF(AND(U53="Preventivo",V53="Automático"),"50%",IF(AND(U53="Preventivo",V53="Manual"),"40%",IF(AND(U53="Detectivo",V53="Automático"),"40%",IF(AND(U53="Detectivo",V53="Manual"),"30%",IF(AND(U53="Correctivo",V53="Automático"),"35%",IF(AND(U53="Correctivo",V53="Manual"),"25%",""))))))</f>
        <v>30%</v>
      </c>
      <c r="X53" s="103" t="s">
        <v>20</v>
      </c>
      <c r="Y53" s="103" t="s">
        <v>23</v>
      </c>
      <c r="Z53" s="103" t="s">
        <v>114</v>
      </c>
      <c r="AA53" s="105">
        <f t="shared" ref="AA53:AA54" si="69">IFERROR(IF(T53="Probabilidad",(L53-(+L53*W53)),IF(T53="Impacto",L53,"")),"")</f>
        <v>0</v>
      </c>
      <c r="AB53" s="106" t="str">
        <f t="shared" ref="AB53:AB54" si="70">IFERROR(IF(AA53="","",IF(AA53&lt;=0.2,"Muy Baja",IF(AA53&lt;=0.4,"Baja",IF(AA53&lt;=0.6,"Media",IF(AA53&lt;=0.8,"Alta","Muy Alta"))))),"")</f>
        <v>Muy Baja</v>
      </c>
      <c r="AC53" s="107">
        <f t="shared" ref="AC53:AC54" si="71">+AA53</f>
        <v>0</v>
      </c>
      <c r="AD53" s="106" t="str">
        <f t="shared" ref="AD53:AD54" si="72">IFERROR(IF(AE53="","",IF(AE53&lt;=0.2,"Leve",IF(AE53&lt;=0.4,"Menor",IF(AE53&lt;=0.6,"Moderado",IF(AE53&lt;=0.8,"Mayor","Catastrófico"))))),"")</f>
        <v>Leve</v>
      </c>
      <c r="AE53" s="107">
        <f t="shared" ref="AE53:AE54" si="73">IFERROR(IF(T53="Impacto",(P53-(+P53*W53)),IF(T53="Probabilidad",P53,"")),"")</f>
        <v>0</v>
      </c>
      <c r="AF53" s="108" t="str">
        <f t="shared" ref="AF53:AF54" si="74">IFERROR(IF(OR(AND(AB53="Muy Baja",AD53="Leve"),AND(AB53="Muy Baja",AD53="Menor"),AND(AB53="Baja",AD53="Leve")),"Bajo",IF(OR(AND(AB53="Muy baja",AD53="Moderado"),AND(AB53="Baja",AD53="Menor"),AND(AB53="Baja",AD53="Moderado"),AND(AB53="Media",AD53="Leve"),AND(AB53="Media",AD53="Menor"),AND(AB53="Media",AD53="Moderado"),AND(AB53="Alta",AD53="Leve"),AND(AB53="Alta",AD53="Menor")),"Moderado",IF(OR(AND(AB53="Muy Baja",AD53="Mayor"),AND(AB53="Baja",AD53="Mayor"),AND(AB53="Media",AD53="Mayor"),AND(AB53="Alta",AD53="Moderado"),AND(AB53="Alta",AD53="Mayor"),AND(AB53="Muy Alta",AD53="Leve"),AND(AB53="Muy Alta",AD53="Menor"),AND(AB53="Muy Alta",AD53="Moderado"),AND(AB53="Muy Alta",AD53="Mayor")),"Alto",IF(OR(AND(AB53="Muy Baja",AD53="Catastrófico"),AND(AB53="Baja",AD53="Catastrófico"),AND(AB53="Media",AD53="Catastrófico"),AND(AB53="Alta",AD53="Catastrófico"),AND(AB53="Muy Alta",AD53="Catastrófico")),"Extremo","")))),"")</f>
        <v>Bajo</v>
      </c>
      <c r="AG53" s="109"/>
      <c r="AH53" s="148"/>
      <c r="AI53" s="111"/>
      <c r="AJ53" s="112"/>
      <c r="AK53" s="112"/>
      <c r="AL53" s="148"/>
      <c r="AM53" s="111"/>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row>
    <row r="54" spans="1:71" ht="151.5" customHeight="1" x14ac:dyDescent="0.25">
      <c r="A54" s="212"/>
      <c r="B54" s="215"/>
      <c r="C54" s="227"/>
      <c r="D54" s="224"/>
      <c r="E54" s="218"/>
      <c r="F54" s="218"/>
      <c r="G54" s="218"/>
      <c r="H54" s="220"/>
      <c r="I54" s="218"/>
      <c r="J54" s="222"/>
      <c r="K54" s="203"/>
      <c r="L54" s="206"/>
      <c r="M54" s="208"/>
      <c r="N54" s="150"/>
      <c r="O54" s="203"/>
      <c r="P54" s="206"/>
      <c r="Q54" s="211"/>
      <c r="R54" s="100">
        <v>3</v>
      </c>
      <c r="S54" s="101"/>
      <c r="T54" s="102" t="str">
        <f t="shared" si="67"/>
        <v>Probabilidad</v>
      </c>
      <c r="U54" s="103" t="s">
        <v>15</v>
      </c>
      <c r="V54" s="103" t="s">
        <v>9</v>
      </c>
      <c r="W54" s="104" t="str">
        <f t="shared" si="68"/>
        <v>30%</v>
      </c>
      <c r="X54" s="103" t="s">
        <v>20</v>
      </c>
      <c r="Y54" s="103" t="s">
        <v>23</v>
      </c>
      <c r="Z54" s="103" t="s">
        <v>114</v>
      </c>
      <c r="AA54" s="105">
        <f t="shared" si="69"/>
        <v>0</v>
      </c>
      <c r="AB54" s="106" t="str">
        <f t="shared" si="70"/>
        <v>Muy Baja</v>
      </c>
      <c r="AC54" s="107">
        <f t="shared" si="71"/>
        <v>0</v>
      </c>
      <c r="AD54" s="106" t="str">
        <f t="shared" si="72"/>
        <v>Leve</v>
      </c>
      <c r="AE54" s="107">
        <f t="shared" si="73"/>
        <v>0</v>
      </c>
      <c r="AF54" s="108" t="str">
        <f t="shared" si="74"/>
        <v>Bajo</v>
      </c>
      <c r="AG54" s="109"/>
      <c r="AH54" s="148"/>
      <c r="AI54" s="111"/>
      <c r="AJ54" s="112"/>
      <c r="AK54" s="112"/>
      <c r="AL54" s="148"/>
      <c r="AM54" s="111"/>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row>
    <row r="55" spans="1:71" ht="151.5" customHeight="1" x14ac:dyDescent="0.25">
      <c r="A55" s="212">
        <v>17</v>
      </c>
      <c r="B55" s="213" t="s">
        <v>294</v>
      </c>
      <c r="C55" s="223" t="s">
        <v>295</v>
      </c>
      <c r="D55" s="223" t="s">
        <v>303</v>
      </c>
      <c r="E55" s="217" t="s">
        <v>127</v>
      </c>
      <c r="F55" s="217" t="s">
        <v>317</v>
      </c>
      <c r="G55" s="217" t="s">
        <v>318</v>
      </c>
      <c r="H55" s="219" t="s">
        <v>316</v>
      </c>
      <c r="I55" s="217" t="s">
        <v>462</v>
      </c>
      <c r="J55" s="221" t="s">
        <v>312</v>
      </c>
      <c r="K55" s="201" t="str">
        <f>IF(J55&lt;=0,"",IF(J55&lt;=2,"Muy Baja",IF(J55&lt;=24,"Baja",IF(J55&lt;=500,"Media",IF(J55&lt;=5000,"Alta","Muy Alta")))))</f>
        <v>Muy Alta</v>
      </c>
      <c r="L55" s="204">
        <f>IF(K55="","",IF(K55="Muy Baja",0.2,IF(K55="Baja",0.4,IF(K55="Media",0.6,IF(K55="Alta",0.8,IF(K55="Muy Alta",1,))))))</f>
        <v>1</v>
      </c>
      <c r="M55" s="207" t="s">
        <v>147</v>
      </c>
      <c r="N55" s="149" t="str">
        <f>IF(NOT(ISERROR(MATCH(M55,'Tabla Impacto'!$B$221:$B$223,0))),'Tabla Impacto'!$F$223&amp;"Por favor no seleccionar los criterios de impacto(Afectación Económica o presupuestal y Pérdida Reputacional)",M55)</f>
        <v xml:space="preserve">     El riesgo afecta la imagen de de la entidad con efecto publicitario sostenido a nivel de sector administrativo, nivel departamental o municipal</v>
      </c>
      <c r="O55" s="201" t="str">
        <f>IF(OR(N55='Tabla Impacto'!$C$11,N55='Tabla Impacto'!$D$11),"Leve",IF(OR(N55='Tabla Impacto'!$C$12,N55='Tabla Impacto'!$D$12),"Menor",IF(OR(N55='Tabla Impacto'!$C$13,N55='Tabla Impacto'!$D$13),"Moderado",IF(OR(N55='Tabla Impacto'!$C$14,N55='Tabla Impacto'!$D$14),"Mayor",IF(OR(N55='Tabla Impacto'!$C$15,N55='Tabla Impacto'!$D$15),"Catastrófico","")))))</f>
        <v>Mayor</v>
      </c>
      <c r="P55" s="204">
        <f>IF(O55="","",IF(O55="Leve",0.2,IF(O55="Menor",0.4,IF(O55="Moderado",0.6,IF(O55="Mayor",0.8,IF(O55="Catastrófico",1,))))))</f>
        <v>0.8</v>
      </c>
      <c r="Q55" s="209" t="str">
        <f>IF(OR(AND(K55="Muy Baja",O55="Leve"),AND(K55="Muy Baja",O55="Menor"),AND(K55="Baja",O55="Leve")),"Bajo",IF(OR(AND(K55="Muy baja",O55="Moderado"),AND(K55="Baja",O55="Menor"),AND(K55="Baja",O55="Moderado"),AND(K55="Media",O55="Leve"),AND(K55="Media",O55="Menor"),AND(K55="Media",O55="Moderado"),AND(K55="Alta",O55="Leve"),AND(K55="Alta",O55="Menor")),"Moderado",IF(OR(AND(K55="Muy Baja",O55="Mayor"),AND(K55="Baja",O55="Mayor"),AND(K55="Media",O55="Mayor"),AND(K55="Alta",O55="Moderado"),AND(K55="Alta",O55="Mayor"),AND(K55="Muy Alta",O55="Leve"),AND(K55="Muy Alta",O55="Menor"),AND(K55="Muy Alta",O55="Moderado"),AND(K55="Muy Alta",O55="Mayor")),"Alto",IF(OR(AND(K55="Muy Baja",O55="Catastrófico"),AND(K55="Baja",O55="Catastrófico"),AND(K55="Media",O55="Catastrófico"),AND(K55="Alta",O55="Catastrófico"),AND(K55="Muy Alta",O55="Catastrófico")),"Extremo",""))))</f>
        <v>Alto</v>
      </c>
      <c r="R55" s="100">
        <v>1</v>
      </c>
      <c r="S55" s="101" t="s">
        <v>319</v>
      </c>
      <c r="T55" s="102" t="str">
        <f t="shared" ref="T55:T57" si="75">IF(OR(U55="Preventivo",U55="Detectivo"),"Probabilidad",IF(U55="Correctivo","Impacto",""))</f>
        <v>Probabilidad</v>
      </c>
      <c r="U55" s="103" t="s">
        <v>14</v>
      </c>
      <c r="V55" s="103" t="s">
        <v>9</v>
      </c>
      <c r="W55" s="104" t="str">
        <f t="shared" ref="W55:W57" si="76">IF(AND(U55="Preventivo",V55="Automático"),"50%",IF(AND(U55="Preventivo",V55="Manual"),"40%",IF(AND(U55="Detectivo",V55="Automático"),"40%",IF(AND(U55="Detectivo",V55="Manual"),"30%",IF(AND(U55="Correctivo",V55="Automático"),"35%",IF(AND(U55="Correctivo",V55="Manual"),"25%",""))))))</f>
        <v>40%</v>
      </c>
      <c r="X55" s="103" t="s">
        <v>19</v>
      </c>
      <c r="Y55" s="103" t="s">
        <v>22</v>
      </c>
      <c r="Z55" s="103" t="s">
        <v>113</v>
      </c>
      <c r="AA55" s="105">
        <f t="shared" ref="AA55:AA57" si="77">IFERROR(IF(T55="Probabilidad",(L55-(+L55*W55)),IF(T55="Impacto",L55,"")),"")</f>
        <v>0.6</v>
      </c>
      <c r="AB55" s="106" t="str">
        <f t="shared" ref="AB55:AB57" si="78">IFERROR(IF(AA55="","",IF(AA55&lt;=0.2,"Muy Baja",IF(AA55&lt;=0.4,"Baja",IF(AA55&lt;=0.6,"Media",IF(AA55&lt;=0.8,"Alta","Muy Alta"))))),"")</f>
        <v>Media</v>
      </c>
      <c r="AC55" s="107">
        <f t="shared" ref="AC55:AC57" si="79">+AA55</f>
        <v>0.6</v>
      </c>
      <c r="AD55" s="106" t="str">
        <f t="shared" ref="AD55:AD57" si="80">IFERROR(IF(AE55="","",IF(AE55&lt;=0.2,"Leve",IF(AE55&lt;=0.4,"Menor",IF(AE55&lt;=0.6,"Moderado",IF(AE55&lt;=0.8,"Mayor","Catastrófico"))))),"")</f>
        <v>Mayor</v>
      </c>
      <c r="AE55" s="107">
        <f t="shared" ref="AE55:AE57" si="81">IFERROR(IF(T55="Impacto",(P55-(+P55*W55)),IF(T55="Probabilidad",P55,"")),"")</f>
        <v>0.8</v>
      </c>
      <c r="AF55" s="108" t="str">
        <f t="shared" ref="AF55:AF57" si="82">IFERROR(IF(OR(AND(AB55="Muy Baja",AD55="Leve"),AND(AB55="Muy Baja",AD55="Menor"),AND(AB55="Baja",AD55="Leve")),"Bajo",IF(OR(AND(AB55="Muy baja",AD55="Moderado"),AND(AB55="Baja",AD55="Menor"),AND(AB55="Baja",AD55="Moderado"),AND(AB55="Media",AD55="Leve"),AND(AB55="Media",AD55="Menor"),AND(AB55="Media",AD55="Moderado"),AND(AB55="Alta",AD55="Leve"),AND(AB55="Alta",AD55="Menor")),"Moderado",IF(OR(AND(AB55="Muy Baja",AD55="Mayor"),AND(AB55="Baja",AD55="Mayor"),AND(AB55="Media",AD55="Mayor"),AND(AB55="Alta",AD55="Moderado"),AND(AB55="Alta",AD55="Mayor"),AND(AB55="Muy Alta",AD55="Leve"),AND(AB55="Muy Alta",AD55="Menor"),AND(AB55="Muy Alta",AD55="Moderado"),AND(AB55="Muy Alta",AD55="Mayor")),"Alto",IF(OR(AND(AB55="Muy Baja",AD55="Catastrófico"),AND(AB55="Baja",AD55="Catastrófico"),AND(AB55="Media",AD55="Catastrófico"),AND(AB55="Alta",AD55="Catastrófico"),AND(AB55="Muy Alta",AD55="Catastrófico")),"Extremo","")))),"")</f>
        <v>Alto</v>
      </c>
      <c r="AG55" s="109" t="s">
        <v>129</v>
      </c>
      <c r="AH55" s="148" t="s">
        <v>320</v>
      </c>
      <c r="AI55" s="111" t="s">
        <v>233</v>
      </c>
      <c r="AJ55" s="112">
        <v>44378</v>
      </c>
      <c r="AK55" s="112">
        <v>44561</v>
      </c>
      <c r="AL55" s="144" t="s">
        <v>321</v>
      </c>
      <c r="AM55" s="111"/>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row>
    <row r="56" spans="1:71" ht="151.5" customHeight="1" x14ac:dyDescent="0.25">
      <c r="A56" s="212"/>
      <c r="B56" s="214"/>
      <c r="C56" s="227"/>
      <c r="D56" s="224"/>
      <c r="E56" s="218"/>
      <c r="F56" s="218"/>
      <c r="G56" s="218"/>
      <c r="H56" s="220"/>
      <c r="I56" s="218"/>
      <c r="J56" s="222"/>
      <c r="K56" s="202"/>
      <c r="L56" s="205"/>
      <c r="M56" s="208"/>
      <c r="N56" s="150"/>
      <c r="O56" s="202"/>
      <c r="P56" s="205"/>
      <c r="Q56" s="210"/>
      <c r="R56" s="100">
        <v>2</v>
      </c>
      <c r="S56" s="101"/>
      <c r="T56" s="102" t="str">
        <f t="shared" si="75"/>
        <v>Probabilidad</v>
      </c>
      <c r="U56" s="103" t="s">
        <v>15</v>
      </c>
      <c r="V56" s="103" t="s">
        <v>9</v>
      </c>
      <c r="W56" s="104" t="str">
        <f t="shared" si="76"/>
        <v>30%</v>
      </c>
      <c r="X56" s="103" t="s">
        <v>20</v>
      </c>
      <c r="Y56" s="103" t="s">
        <v>23</v>
      </c>
      <c r="Z56" s="103" t="s">
        <v>114</v>
      </c>
      <c r="AA56" s="105">
        <f t="shared" si="77"/>
        <v>0</v>
      </c>
      <c r="AB56" s="106" t="str">
        <f t="shared" si="78"/>
        <v>Muy Baja</v>
      </c>
      <c r="AC56" s="107">
        <f t="shared" si="79"/>
        <v>0</v>
      </c>
      <c r="AD56" s="106" t="str">
        <f t="shared" si="80"/>
        <v>Leve</v>
      </c>
      <c r="AE56" s="107">
        <f t="shared" si="81"/>
        <v>0</v>
      </c>
      <c r="AF56" s="108" t="str">
        <f t="shared" si="82"/>
        <v>Bajo</v>
      </c>
      <c r="AG56" s="109"/>
      <c r="AH56" s="148"/>
      <c r="AI56" s="111"/>
      <c r="AJ56" s="112"/>
      <c r="AK56" s="112"/>
      <c r="AL56" s="148"/>
      <c r="AM56" s="111"/>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row>
    <row r="57" spans="1:71" ht="151.5" customHeight="1" x14ac:dyDescent="0.25">
      <c r="A57" s="231"/>
      <c r="B57" s="215"/>
      <c r="C57" s="227"/>
      <c r="D57" s="224"/>
      <c r="E57" s="218"/>
      <c r="F57" s="218"/>
      <c r="G57" s="218"/>
      <c r="H57" s="220"/>
      <c r="I57" s="218"/>
      <c r="J57" s="222"/>
      <c r="K57" s="203"/>
      <c r="L57" s="206"/>
      <c r="M57" s="208"/>
      <c r="N57" s="150"/>
      <c r="O57" s="203"/>
      <c r="P57" s="206"/>
      <c r="Q57" s="211"/>
      <c r="R57" s="100">
        <v>3</v>
      </c>
      <c r="S57" s="101"/>
      <c r="T57" s="102" t="str">
        <f t="shared" si="75"/>
        <v>Probabilidad</v>
      </c>
      <c r="U57" s="103" t="s">
        <v>15</v>
      </c>
      <c r="V57" s="103" t="s">
        <v>9</v>
      </c>
      <c r="W57" s="104" t="str">
        <f t="shared" si="76"/>
        <v>30%</v>
      </c>
      <c r="X57" s="103" t="s">
        <v>20</v>
      </c>
      <c r="Y57" s="103" t="s">
        <v>23</v>
      </c>
      <c r="Z57" s="103" t="s">
        <v>114</v>
      </c>
      <c r="AA57" s="105">
        <f t="shared" si="77"/>
        <v>0</v>
      </c>
      <c r="AB57" s="106" t="str">
        <f t="shared" si="78"/>
        <v>Muy Baja</v>
      </c>
      <c r="AC57" s="107">
        <f t="shared" si="79"/>
        <v>0</v>
      </c>
      <c r="AD57" s="106" t="str">
        <f t="shared" si="80"/>
        <v>Leve</v>
      </c>
      <c r="AE57" s="107">
        <f t="shared" si="81"/>
        <v>0</v>
      </c>
      <c r="AF57" s="108" t="str">
        <f t="shared" si="82"/>
        <v>Bajo</v>
      </c>
      <c r="AG57" s="109"/>
      <c r="AH57" s="148"/>
      <c r="AI57" s="111"/>
      <c r="AJ57" s="112"/>
      <c r="AK57" s="112"/>
      <c r="AL57" s="148"/>
      <c r="AM57" s="111"/>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row>
    <row r="58" spans="1:71" ht="151.5" customHeight="1" x14ac:dyDescent="0.25">
      <c r="A58" s="216">
        <v>18</v>
      </c>
      <c r="B58" s="213" t="s">
        <v>294</v>
      </c>
      <c r="C58" s="223" t="s">
        <v>295</v>
      </c>
      <c r="D58" s="223" t="s">
        <v>303</v>
      </c>
      <c r="E58" s="217" t="s">
        <v>127</v>
      </c>
      <c r="F58" s="217" t="s">
        <v>323</v>
      </c>
      <c r="G58" s="217" t="s">
        <v>324</v>
      </c>
      <c r="H58" s="219" t="s">
        <v>322</v>
      </c>
      <c r="I58" s="217" t="s">
        <v>462</v>
      </c>
      <c r="J58" s="221">
        <v>60</v>
      </c>
      <c r="K58" s="201" t="str">
        <f>IF(J58&lt;=0,"",IF(J58&lt;=2,"Muy Baja",IF(J58&lt;=24,"Baja",IF(J58&lt;=500,"Media",IF(J58&lt;=5000,"Alta","Muy Alta")))))</f>
        <v>Media</v>
      </c>
      <c r="L58" s="204">
        <f>IF(K58="","",IF(K58="Muy Baja",0.2,IF(K58="Baja",0.4,IF(K58="Media",0.6,IF(K58="Alta",0.8,IF(K58="Muy Alta",1,))))))</f>
        <v>0.6</v>
      </c>
      <c r="M58" s="207" t="s">
        <v>146</v>
      </c>
      <c r="N58" s="149" t="str">
        <f>IF(NOT(ISERROR(MATCH(M58,'Tabla Impacto'!$B$221:$B$223,0))),'Tabla Impacto'!$F$223&amp;"Por favor no seleccionar los criterios de impacto(Afectación Económica o presupuestal y Pérdida Reputacional)",M58)</f>
        <v xml:space="preserve">     El riesgo afecta la imagen de la entidad con algunos usuarios de relevancia frente al logro de los objetivos</v>
      </c>
      <c r="O58" s="201" t="str">
        <f>IF(OR(N58='Tabla Impacto'!$C$11,N58='Tabla Impacto'!$D$11),"Leve",IF(OR(N58='Tabla Impacto'!$C$12,N58='Tabla Impacto'!$D$12),"Menor",IF(OR(N58='Tabla Impacto'!$C$13,N58='Tabla Impacto'!$D$13),"Moderado",IF(OR(N58='Tabla Impacto'!$C$14,N58='Tabla Impacto'!$D$14),"Mayor",IF(OR(N58='Tabla Impacto'!$C$15,N58='Tabla Impacto'!$D$15),"Catastrófico","")))))</f>
        <v>Moderado</v>
      </c>
      <c r="P58" s="204">
        <f>IF(O58="","",IF(O58="Leve",0.2,IF(O58="Menor",0.4,IF(O58="Moderado",0.6,IF(O58="Mayor",0.8,IF(O58="Catastrófico",1,))))))</f>
        <v>0.6</v>
      </c>
      <c r="Q58" s="209" t="str">
        <f>IF(OR(AND(K58="Muy Baja",O58="Leve"),AND(K58="Muy Baja",O58="Menor"),AND(K58="Baja",O58="Leve")),"Bajo",IF(OR(AND(K58="Muy baja",O58="Moderado"),AND(K58="Baja",O58="Menor"),AND(K58="Baja",O58="Moderado"),AND(K58="Media",O58="Leve"),AND(K58="Media",O58="Menor"),AND(K58="Media",O58="Moderado"),AND(K58="Alta",O58="Leve"),AND(K58="Alta",O58="Menor")),"Moderado",IF(OR(AND(K58="Muy Baja",O58="Mayor"),AND(K58="Baja",O58="Mayor"),AND(K58="Media",O58="Mayor"),AND(K58="Alta",O58="Moderado"),AND(K58="Alta",O58="Mayor"),AND(K58="Muy Alta",O58="Leve"),AND(K58="Muy Alta",O58="Menor"),AND(K58="Muy Alta",O58="Moderado"),AND(K58="Muy Alta",O58="Mayor")),"Alto",IF(OR(AND(K58="Muy Baja",O58="Catastrófico"),AND(K58="Baja",O58="Catastrófico"),AND(K58="Media",O58="Catastrófico"),AND(K58="Alta",O58="Catastrófico"),AND(K58="Muy Alta",O58="Catastrófico")),"Extremo",""))))</f>
        <v>Moderado</v>
      </c>
      <c r="R58" s="100">
        <v>1</v>
      </c>
      <c r="S58" s="101" t="s">
        <v>325</v>
      </c>
      <c r="T58" s="102" t="str">
        <f t="shared" si="27"/>
        <v>Probabilidad</v>
      </c>
      <c r="U58" s="103" t="s">
        <v>15</v>
      </c>
      <c r="V58" s="103" t="s">
        <v>9</v>
      </c>
      <c r="W58" s="104" t="str">
        <f t="shared" si="28"/>
        <v>30%</v>
      </c>
      <c r="X58" s="103" t="s">
        <v>19</v>
      </c>
      <c r="Y58" s="103" t="s">
        <v>22</v>
      </c>
      <c r="Z58" s="103" t="s">
        <v>113</v>
      </c>
      <c r="AA58" s="105">
        <f t="shared" si="33"/>
        <v>0.42</v>
      </c>
      <c r="AB58" s="106" t="str">
        <f t="shared" si="29"/>
        <v>Media</v>
      </c>
      <c r="AC58" s="107">
        <f t="shared" si="30"/>
        <v>0.42</v>
      </c>
      <c r="AD58" s="106" t="str">
        <f t="shared" si="31"/>
        <v>Moderado</v>
      </c>
      <c r="AE58" s="107">
        <f t="shared" si="34"/>
        <v>0.6</v>
      </c>
      <c r="AF58" s="108" t="str">
        <f t="shared" si="32"/>
        <v>Moderado</v>
      </c>
      <c r="AG58" s="109" t="s">
        <v>129</v>
      </c>
      <c r="AH58" s="148" t="s">
        <v>327</v>
      </c>
      <c r="AI58" s="110" t="s">
        <v>328</v>
      </c>
      <c r="AJ58" s="112">
        <v>44378</v>
      </c>
      <c r="AK58" s="112">
        <v>44561</v>
      </c>
      <c r="AL58" s="148" t="s">
        <v>329</v>
      </c>
      <c r="AM58" s="111"/>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row>
    <row r="59" spans="1:71" ht="151.5" customHeight="1" x14ac:dyDescent="0.25">
      <c r="A59" s="212"/>
      <c r="B59" s="214"/>
      <c r="C59" s="227"/>
      <c r="D59" s="224"/>
      <c r="E59" s="218"/>
      <c r="F59" s="218"/>
      <c r="G59" s="218"/>
      <c r="H59" s="220"/>
      <c r="I59" s="218"/>
      <c r="J59" s="222"/>
      <c r="K59" s="202"/>
      <c r="L59" s="205"/>
      <c r="M59" s="208"/>
      <c r="N59" s="150"/>
      <c r="O59" s="202"/>
      <c r="P59" s="205"/>
      <c r="Q59" s="210"/>
      <c r="R59" s="100">
        <v>2</v>
      </c>
      <c r="S59" s="101" t="s">
        <v>326</v>
      </c>
      <c r="T59" s="102" t="str">
        <f t="shared" ref="T59:T60" si="83">IF(OR(U59="Preventivo",U59="Detectivo"),"Probabilidad",IF(U59="Correctivo","Impacto",""))</f>
        <v>Probabilidad</v>
      </c>
      <c r="U59" s="103" t="s">
        <v>15</v>
      </c>
      <c r="V59" s="103" t="s">
        <v>9</v>
      </c>
      <c r="W59" s="104" t="str">
        <f t="shared" ref="W59:W60" si="84">IF(AND(U59="Preventivo",V59="Automático"),"50%",IF(AND(U59="Preventivo",V59="Manual"),"40%",IF(AND(U59="Detectivo",V59="Automático"),"40%",IF(AND(U59="Detectivo",V59="Manual"),"30%",IF(AND(U59="Correctivo",V59="Automático"),"35%",IF(AND(U59="Correctivo",V59="Manual"),"25%",""))))))</f>
        <v>30%</v>
      </c>
      <c r="X59" s="103" t="s">
        <v>19</v>
      </c>
      <c r="Y59" s="103" t="s">
        <v>22</v>
      </c>
      <c r="Z59" s="103" t="s">
        <v>113</v>
      </c>
      <c r="AA59" s="105">
        <f t="shared" ref="AA59:AA60" si="85">IFERROR(IF(T59="Probabilidad",(L59-(+L59*W59)),IF(T59="Impacto",L59,"")),"")</f>
        <v>0</v>
      </c>
      <c r="AB59" s="106" t="str">
        <f t="shared" ref="AB59:AB60" si="86">IFERROR(IF(AA59="","",IF(AA59&lt;=0.2,"Muy Baja",IF(AA59&lt;=0.4,"Baja",IF(AA59&lt;=0.6,"Media",IF(AA59&lt;=0.8,"Alta","Muy Alta"))))),"")</f>
        <v>Muy Baja</v>
      </c>
      <c r="AC59" s="107">
        <f t="shared" ref="AC59:AC60" si="87">+AA59</f>
        <v>0</v>
      </c>
      <c r="AD59" s="106" t="str">
        <f t="shared" ref="AD59:AD60" si="88">IFERROR(IF(AE59="","",IF(AE59&lt;=0.2,"Leve",IF(AE59&lt;=0.4,"Menor",IF(AE59&lt;=0.6,"Moderado",IF(AE59&lt;=0.8,"Mayor","Catastrófico"))))),"")</f>
        <v>Leve</v>
      </c>
      <c r="AE59" s="107">
        <f t="shared" ref="AE59:AE60" si="89">IFERROR(IF(T59="Impacto",(P59-(+P59*W59)),IF(T59="Probabilidad",P59,"")),"")</f>
        <v>0</v>
      </c>
      <c r="AF59" s="108" t="str">
        <f t="shared" ref="AF59:AF60" si="90">IFERROR(IF(OR(AND(AB59="Muy Baja",AD59="Leve"),AND(AB59="Muy Baja",AD59="Menor"),AND(AB59="Baja",AD59="Leve")),"Bajo",IF(OR(AND(AB59="Muy baja",AD59="Moderado"),AND(AB59="Baja",AD59="Menor"),AND(AB59="Baja",AD59="Moderado"),AND(AB59="Media",AD59="Leve"),AND(AB59="Media",AD59="Menor"),AND(AB59="Media",AD59="Moderado"),AND(AB59="Alta",AD59="Leve"),AND(AB59="Alta",AD59="Menor")),"Moderado",IF(OR(AND(AB59="Muy Baja",AD59="Mayor"),AND(AB59="Baja",AD59="Mayor"),AND(AB59="Media",AD59="Mayor"),AND(AB59="Alta",AD59="Moderado"),AND(AB59="Alta",AD59="Mayor"),AND(AB59="Muy Alta",AD59="Leve"),AND(AB59="Muy Alta",AD59="Menor"),AND(AB59="Muy Alta",AD59="Moderado"),AND(AB59="Muy Alta",AD59="Mayor")),"Alto",IF(OR(AND(AB59="Muy Baja",AD59="Catastrófico"),AND(AB59="Baja",AD59="Catastrófico"),AND(AB59="Media",AD59="Catastrófico"),AND(AB59="Alta",AD59="Catastrófico"),AND(AB59="Muy Alta",AD59="Catastrófico")),"Extremo","")))),"")</f>
        <v>Bajo</v>
      </c>
      <c r="AG59" s="109" t="s">
        <v>129</v>
      </c>
      <c r="AH59" s="148" t="s">
        <v>327</v>
      </c>
      <c r="AI59" s="110" t="s">
        <v>328</v>
      </c>
      <c r="AJ59" s="112">
        <v>44378</v>
      </c>
      <c r="AK59" s="112">
        <v>44561</v>
      </c>
      <c r="AL59" s="148" t="s">
        <v>329</v>
      </c>
      <c r="AM59" s="111"/>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row>
    <row r="60" spans="1:71" ht="151.5" customHeight="1" x14ac:dyDescent="0.25">
      <c r="A60" s="212"/>
      <c r="B60" s="215"/>
      <c r="C60" s="227"/>
      <c r="D60" s="224"/>
      <c r="E60" s="218"/>
      <c r="F60" s="218"/>
      <c r="G60" s="218"/>
      <c r="H60" s="220"/>
      <c r="I60" s="218"/>
      <c r="J60" s="222"/>
      <c r="K60" s="203"/>
      <c r="L60" s="206"/>
      <c r="M60" s="208"/>
      <c r="N60" s="150"/>
      <c r="O60" s="203"/>
      <c r="P60" s="206"/>
      <c r="Q60" s="211"/>
      <c r="R60" s="100">
        <v>3</v>
      </c>
      <c r="S60" s="101"/>
      <c r="T60" s="102" t="str">
        <f t="shared" si="83"/>
        <v>Probabilidad</v>
      </c>
      <c r="U60" s="103" t="s">
        <v>15</v>
      </c>
      <c r="V60" s="103" t="s">
        <v>9</v>
      </c>
      <c r="W60" s="104" t="str">
        <f t="shared" si="84"/>
        <v>30%</v>
      </c>
      <c r="X60" s="103" t="s">
        <v>20</v>
      </c>
      <c r="Y60" s="103" t="s">
        <v>23</v>
      </c>
      <c r="Z60" s="103" t="s">
        <v>114</v>
      </c>
      <c r="AA60" s="105">
        <f t="shared" si="85"/>
        <v>0</v>
      </c>
      <c r="AB60" s="106" t="str">
        <f t="shared" si="86"/>
        <v>Muy Baja</v>
      </c>
      <c r="AC60" s="107">
        <f t="shared" si="87"/>
        <v>0</v>
      </c>
      <c r="AD60" s="106" t="str">
        <f t="shared" si="88"/>
        <v>Leve</v>
      </c>
      <c r="AE60" s="107">
        <f t="shared" si="89"/>
        <v>0</v>
      </c>
      <c r="AF60" s="108" t="str">
        <f t="shared" si="90"/>
        <v>Bajo</v>
      </c>
      <c r="AG60" s="109"/>
      <c r="AH60" s="148"/>
      <c r="AI60" s="111"/>
      <c r="AJ60" s="112"/>
      <c r="AK60" s="112"/>
      <c r="AL60" s="148"/>
      <c r="AM60" s="111"/>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row>
    <row r="61" spans="1:71" ht="151.5" customHeight="1" x14ac:dyDescent="0.25">
      <c r="A61" s="212">
        <v>19</v>
      </c>
      <c r="B61" s="213" t="s">
        <v>330</v>
      </c>
      <c r="C61" s="223" t="s">
        <v>331</v>
      </c>
      <c r="D61" s="223" t="s">
        <v>332</v>
      </c>
      <c r="E61" s="217" t="s">
        <v>127</v>
      </c>
      <c r="F61" s="217" t="s">
        <v>333</v>
      </c>
      <c r="G61" s="217" t="s">
        <v>334</v>
      </c>
      <c r="H61" s="219" t="s">
        <v>335</v>
      </c>
      <c r="I61" s="217" t="s">
        <v>122</v>
      </c>
      <c r="J61" s="221">
        <v>360</v>
      </c>
      <c r="K61" s="201" t="str">
        <f>IF(J61&lt;=0,"",IF(J61&lt;=2,"Muy Baja",IF(J61&lt;=24,"Baja",IF(J61&lt;=500,"Media",IF(J61&lt;=5000,"Alta","Muy Alta")))))</f>
        <v>Media</v>
      </c>
      <c r="L61" s="204">
        <f>IF(K61="","",IF(K61="Muy Baja",0.2,IF(K61="Baja",0.4,IF(K61="Media",0.6,IF(K61="Alta",0.8,IF(K61="Muy Alta",1,))))))</f>
        <v>0.6</v>
      </c>
      <c r="M61" s="207" t="s">
        <v>146</v>
      </c>
      <c r="N61" s="149" t="str">
        <f>IF(NOT(ISERROR(MATCH(M61,'Tabla Impacto'!$B$221:$B$223,0))),'Tabla Impacto'!$F$223&amp;"Por favor no seleccionar los criterios de impacto(Afectación Económica o presupuestal y Pérdida Reputacional)",M61)</f>
        <v xml:space="preserve">     El riesgo afecta la imagen de la entidad con algunos usuarios de relevancia frente al logro de los objetivos</v>
      </c>
      <c r="O61" s="201" t="str">
        <f>IF(OR(N61='Tabla Impacto'!$C$11,N61='Tabla Impacto'!$D$11),"Leve",IF(OR(N61='Tabla Impacto'!$C$12,N61='Tabla Impacto'!$D$12),"Menor",IF(OR(N61='Tabla Impacto'!$C$13,N61='Tabla Impacto'!$D$13),"Moderado",IF(OR(N61='Tabla Impacto'!$C$14,N61='Tabla Impacto'!$D$14),"Mayor",IF(OR(N61='Tabla Impacto'!$C$15,N61='Tabla Impacto'!$D$15),"Catastrófico","")))))</f>
        <v>Moderado</v>
      </c>
      <c r="P61" s="204">
        <f>IF(O61="","",IF(O61="Leve",0.2,IF(O61="Menor",0.4,IF(O61="Moderado",0.6,IF(O61="Mayor",0.8,IF(O61="Catastrófico",1,))))))</f>
        <v>0.6</v>
      </c>
      <c r="Q61" s="209" t="str">
        <f>IF(OR(AND(K61="Muy Baja",O61="Leve"),AND(K61="Muy Baja",O61="Menor"),AND(K61="Baja",O61="Leve")),"Bajo",IF(OR(AND(K61="Muy baja",O61="Moderado"),AND(K61="Baja",O61="Menor"),AND(K61="Baja",O61="Moderado"),AND(K61="Media",O61="Leve"),AND(K61="Media",O61="Menor"),AND(K61="Media",O61="Moderado"),AND(K61="Alta",O61="Leve"),AND(K61="Alta",O61="Menor")),"Moderado",IF(OR(AND(K61="Muy Baja",O61="Mayor"),AND(K61="Baja",O61="Mayor"),AND(K61="Media",O61="Mayor"),AND(K61="Alta",O61="Moderado"),AND(K61="Alta",O61="Mayor"),AND(K61="Muy Alta",O61="Leve"),AND(K61="Muy Alta",O61="Menor"),AND(K61="Muy Alta",O61="Moderado"),AND(K61="Muy Alta",O61="Mayor")),"Alto",IF(OR(AND(K61="Muy Baja",O61="Catastrófico"),AND(K61="Baja",O61="Catastrófico"),AND(K61="Media",O61="Catastrófico"),AND(K61="Alta",O61="Catastrófico"),AND(K61="Muy Alta",O61="Catastrófico")),"Extremo",""))))</f>
        <v>Moderado</v>
      </c>
      <c r="R61" s="100">
        <v>1</v>
      </c>
      <c r="S61" s="101" t="s">
        <v>336</v>
      </c>
      <c r="T61" s="102" t="str">
        <f t="shared" si="27"/>
        <v>Probabilidad</v>
      </c>
      <c r="U61" s="103" t="s">
        <v>15</v>
      </c>
      <c r="V61" s="103" t="s">
        <v>9</v>
      </c>
      <c r="W61" s="104" t="str">
        <f t="shared" si="28"/>
        <v>30%</v>
      </c>
      <c r="X61" s="103" t="s">
        <v>20</v>
      </c>
      <c r="Y61" s="103" t="s">
        <v>22</v>
      </c>
      <c r="Z61" s="103" t="s">
        <v>113</v>
      </c>
      <c r="AA61" s="105">
        <f t="shared" si="33"/>
        <v>0.42</v>
      </c>
      <c r="AB61" s="106" t="str">
        <f t="shared" si="29"/>
        <v>Media</v>
      </c>
      <c r="AC61" s="107">
        <f t="shared" si="30"/>
        <v>0.42</v>
      </c>
      <c r="AD61" s="106" t="str">
        <f t="shared" si="31"/>
        <v>Moderado</v>
      </c>
      <c r="AE61" s="107">
        <f t="shared" si="34"/>
        <v>0.6</v>
      </c>
      <c r="AF61" s="108" t="str">
        <f t="shared" si="32"/>
        <v>Moderado</v>
      </c>
      <c r="AG61" s="109" t="s">
        <v>129</v>
      </c>
      <c r="AH61" s="148" t="s">
        <v>337</v>
      </c>
      <c r="AI61" s="111" t="s">
        <v>224</v>
      </c>
      <c r="AJ61" s="112">
        <v>44378</v>
      </c>
      <c r="AK61" s="112">
        <v>44561</v>
      </c>
      <c r="AL61" s="148" t="s">
        <v>338</v>
      </c>
      <c r="AM61" s="111"/>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row>
    <row r="62" spans="1:71" ht="151.5" customHeight="1" x14ac:dyDescent="0.25">
      <c r="A62" s="212"/>
      <c r="B62" s="214"/>
      <c r="C62" s="224"/>
      <c r="D62" s="227"/>
      <c r="E62" s="218"/>
      <c r="F62" s="218"/>
      <c r="G62" s="218"/>
      <c r="H62" s="220"/>
      <c r="I62" s="218"/>
      <c r="J62" s="222"/>
      <c r="K62" s="202"/>
      <c r="L62" s="205"/>
      <c r="M62" s="208"/>
      <c r="N62" s="150"/>
      <c r="O62" s="202"/>
      <c r="P62" s="205"/>
      <c r="Q62" s="210"/>
      <c r="R62" s="100">
        <v>2</v>
      </c>
      <c r="S62" s="101"/>
      <c r="T62" s="102" t="str">
        <f t="shared" ref="T62:T63" si="91">IF(OR(U62="Preventivo",U62="Detectivo"),"Probabilidad",IF(U62="Correctivo","Impacto",""))</f>
        <v>Probabilidad</v>
      </c>
      <c r="U62" s="103" t="s">
        <v>15</v>
      </c>
      <c r="V62" s="103" t="s">
        <v>9</v>
      </c>
      <c r="W62" s="104" t="str">
        <f t="shared" ref="W62:W63" si="92">IF(AND(U62="Preventivo",V62="Automático"),"50%",IF(AND(U62="Preventivo",V62="Manual"),"40%",IF(AND(U62="Detectivo",V62="Automático"),"40%",IF(AND(U62="Detectivo",V62="Manual"),"30%",IF(AND(U62="Correctivo",V62="Automático"),"35%",IF(AND(U62="Correctivo",V62="Manual"),"25%",""))))))</f>
        <v>30%</v>
      </c>
      <c r="X62" s="103" t="s">
        <v>20</v>
      </c>
      <c r="Y62" s="103" t="s">
        <v>23</v>
      </c>
      <c r="Z62" s="103" t="s">
        <v>114</v>
      </c>
      <c r="AA62" s="105">
        <f t="shared" ref="AA62:AA63" si="93">IFERROR(IF(T62="Probabilidad",(L62-(+L62*W62)),IF(T62="Impacto",L62,"")),"")</f>
        <v>0</v>
      </c>
      <c r="AB62" s="106" t="str">
        <f t="shared" ref="AB62:AB63" si="94">IFERROR(IF(AA62="","",IF(AA62&lt;=0.2,"Muy Baja",IF(AA62&lt;=0.4,"Baja",IF(AA62&lt;=0.6,"Media",IF(AA62&lt;=0.8,"Alta","Muy Alta"))))),"")</f>
        <v>Muy Baja</v>
      </c>
      <c r="AC62" s="107">
        <f t="shared" ref="AC62:AC63" si="95">+AA62</f>
        <v>0</v>
      </c>
      <c r="AD62" s="106" t="str">
        <f t="shared" ref="AD62:AD63" si="96">IFERROR(IF(AE62="","",IF(AE62&lt;=0.2,"Leve",IF(AE62&lt;=0.4,"Menor",IF(AE62&lt;=0.6,"Moderado",IF(AE62&lt;=0.8,"Mayor","Catastrófico"))))),"")</f>
        <v>Leve</v>
      </c>
      <c r="AE62" s="107">
        <f t="shared" ref="AE62:AE63" si="97">IFERROR(IF(T62="Impacto",(P62-(+P62*W62)),IF(T62="Probabilidad",P62,"")),"")</f>
        <v>0</v>
      </c>
      <c r="AF62" s="108" t="str">
        <f t="shared" ref="AF62:AF63" si="98">IFERROR(IF(OR(AND(AB62="Muy Baja",AD62="Leve"),AND(AB62="Muy Baja",AD62="Menor"),AND(AB62="Baja",AD62="Leve")),"Bajo",IF(OR(AND(AB62="Muy baja",AD62="Moderado"),AND(AB62="Baja",AD62="Menor"),AND(AB62="Baja",AD62="Moderado"),AND(AB62="Media",AD62="Leve"),AND(AB62="Media",AD62="Menor"),AND(AB62="Media",AD62="Moderado"),AND(AB62="Alta",AD62="Leve"),AND(AB62="Alta",AD62="Menor")),"Moderado",IF(OR(AND(AB62="Muy Baja",AD62="Mayor"),AND(AB62="Baja",AD62="Mayor"),AND(AB62="Media",AD62="Mayor"),AND(AB62="Alta",AD62="Moderado"),AND(AB62="Alta",AD62="Mayor"),AND(AB62="Muy Alta",AD62="Leve"),AND(AB62="Muy Alta",AD62="Menor"),AND(AB62="Muy Alta",AD62="Moderado"),AND(AB62="Muy Alta",AD62="Mayor")),"Alto",IF(OR(AND(AB62="Muy Baja",AD62="Catastrófico"),AND(AB62="Baja",AD62="Catastrófico"),AND(AB62="Media",AD62="Catastrófico"),AND(AB62="Alta",AD62="Catastrófico"),AND(AB62="Muy Alta",AD62="Catastrófico")),"Extremo","")))),"")</f>
        <v>Bajo</v>
      </c>
      <c r="AG62" s="109"/>
      <c r="AH62" s="148"/>
      <c r="AI62" s="111"/>
      <c r="AJ62" s="112"/>
      <c r="AK62" s="112"/>
      <c r="AL62" s="148"/>
      <c r="AM62" s="111"/>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row>
    <row r="63" spans="1:71" ht="151.5" customHeight="1" x14ac:dyDescent="0.25">
      <c r="A63" s="212"/>
      <c r="B63" s="215"/>
      <c r="C63" s="224"/>
      <c r="D63" s="227"/>
      <c r="E63" s="218"/>
      <c r="F63" s="218"/>
      <c r="G63" s="218"/>
      <c r="H63" s="220"/>
      <c r="I63" s="218"/>
      <c r="J63" s="222"/>
      <c r="K63" s="203"/>
      <c r="L63" s="206"/>
      <c r="M63" s="232"/>
      <c r="N63" s="150"/>
      <c r="O63" s="203"/>
      <c r="P63" s="206"/>
      <c r="Q63" s="211"/>
      <c r="R63" s="100">
        <v>3</v>
      </c>
      <c r="S63" s="101"/>
      <c r="T63" s="102" t="str">
        <f t="shared" si="91"/>
        <v>Probabilidad</v>
      </c>
      <c r="U63" s="103" t="s">
        <v>15</v>
      </c>
      <c r="V63" s="103" t="s">
        <v>9</v>
      </c>
      <c r="W63" s="104" t="str">
        <f t="shared" si="92"/>
        <v>30%</v>
      </c>
      <c r="X63" s="103" t="s">
        <v>20</v>
      </c>
      <c r="Y63" s="103" t="s">
        <v>23</v>
      </c>
      <c r="Z63" s="103" t="s">
        <v>114</v>
      </c>
      <c r="AA63" s="105">
        <f t="shared" si="93"/>
        <v>0</v>
      </c>
      <c r="AB63" s="106" t="str">
        <f t="shared" si="94"/>
        <v>Muy Baja</v>
      </c>
      <c r="AC63" s="107">
        <f t="shared" si="95"/>
        <v>0</v>
      </c>
      <c r="AD63" s="106" t="str">
        <f t="shared" si="96"/>
        <v>Leve</v>
      </c>
      <c r="AE63" s="107">
        <f t="shared" si="97"/>
        <v>0</v>
      </c>
      <c r="AF63" s="108" t="str">
        <f t="shared" si="98"/>
        <v>Bajo</v>
      </c>
      <c r="AG63" s="109"/>
      <c r="AH63" s="148"/>
      <c r="AI63" s="111"/>
      <c r="AJ63" s="112"/>
      <c r="AK63" s="112"/>
      <c r="AL63" s="148"/>
      <c r="AM63" s="111"/>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row>
    <row r="64" spans="1:71" ht="151.5" customHeight="1" x14ac:dyDescent="0.25">
      <c r="A64" s="212">
        <v>20</v>
      </c>
      <c r="B64" s="213" t="s">
        <v>330</v>
      </c>
      <c r="C64" s="223" t="s">
        <v>331</v>
      </c>
      <c r="D64" s="223" t="s">
        <v>332</v>
      </c>
      <c r="E64" s="217" t="s">
        <v>127</v>
      </c>
      <c r="F64" s="225" t="s">
        <v>340</v>
      </c>
      <c r="G64" s="217" t="s">
        <v>341</v>
      </c>
      <c r="H64" s="219" t="s">
        <v>339</v>
      </c>
      <c r="I64" s="217" t="s">
        <v>119</v>
      </c>
      <c r="J64" s="221">
        <v>246</v>
      </c>
      <c r="K64" s="201" t="str">
        <f>IF(J64&lt;=0,"",IF(J64&lt;=2,"Muy Baja",IF(J64&lt;=24,"Baja",IF(J64&lt;=500,"Media",IF(J64&lt;=5000,"Alta","Muy Alta")))))</f>
        <v>Media</v>
      </c>
      <c r="L64" s="204">
        <f>IF(K64="","",IF(K64="Muy Baja",0.2,IF(K64="Baja",0.4,IF(K64="Media",0.6,IF(K64="Alta",0.8,IF(K64="Muy Alta",1,))))))</f>
        <v>0.6</v>
      </c>
      <c r="M64" s="207" t="s">
        <v>147</v>
      </c>
      <c r="N64" s="149" t="str">
        <f>IF(NOT(ISERROR(MATCH(M64,'Tabla Impacto'!$B$221:$B$223,0))),'Tabla Impacto'!$F$223&amp;"Por favor no seleccionar los criterios de impacto(Afectación Económica o presupuestal y Pérdida Reputacional)",M64)</f>
        <v xml:space="preserve">     El riesgo afecta la imagen de de la entidad con efecto publicitario sostenido a nivel de sector administrativo, nivel departamental o municipal</v>
      </c>
      <c r="O64" s="201" t="str">
        <f>IF(OR(N64='Tabla Impacto'!$C$11,N64='Tabla Impacto'!$D$11),"Leve",IF(OR(N64='Tabla Impacto'!$C$12,N64='Tabla Impacto'!$D$12),"Menor",IF(OR(N64='Tabla Impacto'!$C$13,N64='Tabla Impacto'!$D$13),"Moderado",IF(OR(N64='Tabla Impacto'!$C$14,N64='Tabla Impacto'!$D$14),"Mayor",IF(OR(N64='Tabla Impacto'!$C$15,N64='Tabla Impacto'!$D$15),"Catastrófico","")))))</f>
        <v>Mayor</v>
      </c>
      <c r="P64" s="204">
        <f>IF(O64="","",IF(O64="Leve",0.2,IF(O64="Menor",0.4,IF(O64="Moderado",0.6,IF(O64="Mayor",0.8,IF(O64="Catastrófico",1,))))))</f>
        <v>0.8</v>
      </c>
      <c r="Q64" s="209" t="str">
        <f>IF(OR(AND(K64="Muy Baja",O64="Leve"),AND(K64="Muy Baja",O64="Menor"),AND(K64="Baja",O64="Leve")),"Bajo",IF(OR(AND(K64="Muy baja",O64="Moderado"),AND(K64="Baja",O64="Menor"),AND(K64="Baja",O64="Moderado"),AND(K64="Media",O64="Leve"),AND(K64="Media",O64="Menor"),AND(K64="Media",O64="Moderado"),AND(K64="Alta",O64="Leve"),AND(K64="Alta",O64="Menor")),"Moderado",IF(OR(AND(K64="Muy Baja",O64="Mayor"),AND(K64="Baja",O64="Mayor"),AND(K64="Media",O64="Mayor"),AND(K64="Alta",O64="Moderado"),AND(K64="Alta",O64="Mayor"),AND(K64="Muy Alta",O64="Leve"),AND(K64="Muy Alta",O64="Menor"),AND(K64="Muy Alta",O64="Moderado"),AND(K64="Muy Alta",O64="Mayor")),"Alto",IF(OR(AND(K64="Muy Baja",O64="Catastrófico"),AND(K64="Baja",O64="Catastrófico"),AND(K64="Media",O64="Catastrófico"),AND(K64="Alta",O64="Catastrófico"),AND(K64="Muy Alta",O64="Catastrófico")),"Extremo",""))))</f>
        <v>Alto</v>
      </c>
      <c r="R64" s="100">
        <v>1</v>
      </c>
      <c r="S64" s="101" t="s">
        <v>342</v>
      </c>
      <c r="T64" s="102" t="str">
        <f t="shared" si="27"/>
        <v>Probabilidad</v>
      </c>
      <c r="U64" s="103" t="s">
        <v>14</v>
      </c>
      <c r="V64" s="103" t="s">
        <v>9</v>
      </c>
      <c r="W64" s="104" t="str">
        <f t="shared" si="28"/>
        <v>40%</v>
      </c>
      <c r="X64" s="103" t="s">
        <v>20</v>
      </c>
      <c r="Y64" s="103" t="s">
        <v>22</v>
      </c>
      <c r="Z64" s="103" t="s">
        <v>113</v>
      </c>
      <c r="AA64" s="105">
        <f t="shared" si="33"/>
        <v>0.36</v>
      </c>
      <c r="AB64" s="106" t="str">
        <f t="shared" si="29"/>
        <v>Baja</v>
      </c>
      <c r="AC64" s="107">
        <f t="shared" si="30"/>
        <v>0.36</v>
      </c>
      <c r="AD64" s="106" t="str">
        <f t="shared" si="31"/>
        <v>Mayor</v>
      </c>
      <c r="AE64" s="107">
        <f t="shared" si="34"/>
        <v>0.8</v>
      </c>
      <c r="AF64" s="108" t="str">
        <f t="shared" si="32"/>
        <v>Alto</v>
      </c>
      <c r="AG64" s="109" t="s">
        <v>129</v>
      </c>
      <c r="AH64" s="148" t="s">
        <v>343</v>
      </c>
      <c r="AI64" s="111" t="s">
        <v>315</v>
      </c>
      <c r="AJ64" s="112">
        <v>44440</v>
      </c>
      <c r="AK64" s="112">
        <v>44561</v>
      </c>
      <c r="AL64" s="148" t="s">
        <v>344</v>
      </c>
      <c r="AM64" s="111"/>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row>
    <row r="65" spans="1:71" ht="151.5" customHeight="1" x14ac:dyDescent="0.25">
      <c r="A65" s="212"/>
      <c r="B65" s="214"/>
      <c r="C65" s="224"/>
      <c r="D65" s="227"/>
      <c r="E65" s="218"/>
      <c r="F65" s="218"/>
      <c r="G65" s="218"/>
      <c r="H65" s="220"/>
      <c r="I65" s="218"/>
      <c r="J65" s="222"/>
      <c r="K65" s="202"/>
      <c r="L65" s="205"/>
      <c r="M65" s="208"/>
      <c r="N65" s="150"/>
      <c r="O65" s="202"/>
      <c r="P65" s="205"/>
      <c r="Q65" s="210"/>
      <c r="R65" s="100">
        <v>2</v>
      </c>
      <c r="S65" s="101"/>
      <c r="T65" s="102" t="str">
        <f t="shared" ref="T65:T66" si="99">IF(OR(U65="Preventivo",U65="Detectivo"),"Probabilidad",IF(U65="Correctivo","Impacto",""))</f>
        <v>Probabilidad</v>
      </c>
      <c r="U65" s="103" t="s">
        <v>15</v>
      </c>
      <c r="V65" s="103" t="s">
        <v>9</v>
      </c>
      <c r="W65" s="104" t="str">
        <f t="shared" ref="W65:W66" si="100">IF(AND(U65="Preventivo",V65="Automático"),"50%",IF(AND(U65="Preventivo",V65="Manual"),"40%",IF(AND(U65="Detectivo",V65="Automático"),"40%",IF(AND(U65="Detectivo",V65="Manual"),"30%",IF(AND(U65="Correctivo",V65="Automático"),"35%",IF(AND(U65="Correctivo",V65="Manual"),"25%",""))))))</f>
        <v>30%</v>
      </c>
      <c r="X65" s="103" t="s">
        <v>20</v>
      </c>
      <c r="Y65" s="103" t="s">
        <v>23</v>
      </c>
      <c r="Z65" s="103" t="s">
        <v>114</v>
      </c>
      <c r="AA65" s="105">
        <f t="shared" ref="AA65:AA66" si="101">IFERROR(IF(T65="Probabilidad",(L65-(+L65*W65)),IF(T65="Impacto",L65,"")),"")</f>
        <v>0</v>
      </c>
      <c r="AB65" s="106" t="str">
        <f t="shared" ref="AB65:AB66" si="102">IFERROR(IF(AA65="","",IF(AA65&lt;=0.2,"Muy Baja",IF(AA65&lt;=0.4,"Baja",IF(AA65&lt;=0.6,"Media",IF(AA65&lt;=0.8,"Alta","Muy Alta"))))),"")</f>
        <v>Muy Baja</v>
      </c>
      <c r="AC65" s="107">
        <f t="shared" ref="AC65:AC66" si="103">+AA65</f>
        <v>0</v>
      </c>
      <c r="AD65" s="106" t="str">
        <f t="shared" ref="AD65:AD66" si="104">IFERROR(IF(AE65="","",IF(AE65&lt;=0.2,"Leve",IF(AE65&lt;=0.4,"Menor",IF(AE65&lt;=0.6,"Moderado",IF(AE65&lt;=0.8,"Mayor","Catastrófico"))))),"")</f>
        <v>Leve</v>
      </c>
      <c r="AE65" s="107">
        <f t="shared" ref="AE65:AE66" si="105">IFERROR(IF(T65="Impacto",(P65-(+P65*W65)),IF(T65="Probabilidad",P65,"")),"")</f>
        <v>0</v>
      </c>
      <c r="AF65" s="108" t="str">
        <f t="shared" ref="AF65:AF66" si="106">IFERROR(IF(OR(AND(AB65="Muy Baja",AD65="Leve"),AND(AB65="Muy Baja",AD65="Menor"),AND(AB65="Baja",AD65="Leve")),"Bajo",IF(OR(AND(AB65="Muy baja",AD65="Moderado"),AND(AB65="Baja",AD65="Menor"),AND(AB65="Baja",AD65="Moderado"),AND(AB65="Media",AD65="Leve"),AND(AB65="Media",AD65="Menor"),AND(AB65="Media",AD65="Moderado"),AND(AB65="Alta",AD65="Leve"),AND(AB65="Alta",AD65="Menor")),"Moderado",IF(OR(AND(AB65="Muy Baja",AD65="Mayor"),AND(AB65="Baja",AD65="Mayor"),AND(AB65="Media",AD65="Mayor"),AND(AB65="Alta",AD65="Moderado"),AND(AB65="Alta",AD65="Mayor"),AND(AB65="Muy Alta",AD65="Leve"),AND(AB65="Muy Alta",AD65="Menor"),AND(AB65="Muy Alta",AD65="Moderado"),AND(AB65="Muy Alta",AD65="Mayor")),"Alto",IF(OR(AND(AB65="Muy Baja",AD65="Catastrófico"),AND(AB65="Baja",AD65="Catastrófico"),AND(AB65="Media",AD65="Catastrófico"),AND(AB65="Alta",AD65="Catastrófico"),AND(AB65="Muy Alta",AD65="Catastrófico")),"Extremo","")))),"")</f>
        <v>Bajo</v>
      </c>
      <c r="AG65" s="109"/>
      <c r="AH65" s="148"/>
      <c r="AI65" s="111"/>
      <c r="AJ65" s="112"/>
      <c r="AK65" s="112"/>
      <c r="AL65" s="148"/>
      <c r="AM65" s="111"/>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row>
    <row r="66" spans="1:71" ht="151.5" customHeight="1" x14ac:dyDescent="0.25">
      <c r="A66" s="212"/>
      <c r="B66" s="215"/>
      <c r="C66" s="224"/>
      <c r="D66" s="227"/>
      <c r="E66" s="218"/>
      <c r="F66" s="218"/>
      <c r="G66" s="218"/>
      <c r="H66" s="220"/>
      <c r="I66" s="218"/>
      <c r="J66" s="222"/>
      <c r="K66" s="203"/>
      <c r="L66" s="206"/>
      <c r="M66" s="208"/>
      <c r="N66" s="150"/>
      <c r="O66" s="203"/>
      <c r="P66" s="206"/>
      <c r="Q66" s="211"/>
      <c r="R66" s="100">
        <v>3</v>
      </c>
      <c r="S66" s="101"/>
      <c r="T66" s="102" t="str">
        <f t="shared" si="99"/>
        <v>Probabilidad</v>
      </c>
      <c r="U66" s="103" t="s">
        <v>15</v>
      </c>
      <c r="V66" s="103" t="s">
        <v>9</v>
      </c>
      <c r="W66" s="104" t="str">
        <f t="shared" si="100"/>
        <v>30%</v>
      </c>
      <c r="X66" s="103" t="s">
        <v>20</v>
      </c>
      <c r="Y66" s="103" t="s">
        <v>23</v>
      </c>
      <c r="Z66" s="103" t="s">
        <v>114</v>
      </c>
      <c r="AA66" s="105">
        <f t="shared" si="101"/>
        <v>0</v>
      </c>
      <c r="AB66" s="106" t="str">
        <f t="shared" si="102"/>
        <v>Muy Baja</v>
      </c>
      <c r="AC66" s="107">
        <f t="shared" si="103"/>
        <v>0</v>
      </c>
      <c r="AD66" s="106" t="str">
        <f t="shared" si="104"/>
        <v>Leve</v>
      </c>
      <c r="AE66" s="107">
        <f t="shared" si="105"/>
        <v>0</v>
      </c>
      <c r="AF66" s="108" t="str">
        <f t="shared" si="106"/>
        <v>Bajo</v>
      </c>
      <c r="AG66" s="109"/>
      <c r="AH66" s="148"/>
      <c r="AI66" s="111"/>
      <c r="AJ66" s="112"/>
      <c r="AK66" s="112"/>
      <c r="AL66" s="148"/>
      <c r="AM66" s="111"/>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row>
    <row r="67" spans="1:71" ht="151.5" customHeight="1" x14ac:dyDescent="0.25">
      <c r="A67" s="212">
        <v>21</v>
      </c>
      <c r="B67" s="213" t="s">
        <v>346</v>
      </c>
      <c r="C67" s="223" t="s">
        <v>547</v>
      </c>
      <c r="D67" s="223" t="s">
        <v>347</v>
      </c>
      <c r="E67" s="217" t="s">
        <v>127</v>
      </c>
      <c r="F67" s="225" t="s">
        <v>505</v>
      </c>
      <c r="G67" s="225" t="s">
        <v>348</v>
      </c>
      <c r="H67" s="219" t="s">
        <v>345</v>
      </c>
      <c r="I67" s="217" t="s">
        <v>465</v>
      </c>
      <c r="J67" s="221">
        <v>4</v>
      </c>
      <c r="K67" s="201" t="str">
        <f>IF(J67&lt;=0,"",IF(J67&lt;=2,"Muy Baja",IF(J67&lt;=24,"Baja",IF(J67&lt;=500,"Media",IF(J67&lt;=5000,"Alta","Muy Alta")))))</f>
        <v>Baja</v>
      </c>
      <c r="L67" s="204">
        <f>IF(K67="","",IF(K67="Muy Baja",0.2,IF(K67="Baja",0.4,IF(K67="Media",0.6,IF(K67="Alta",0.8,IF(K67="Muy Alta",1,))))))</f>
        <v>0.4</v>
      </c>
      <c r="M67" s="207" t="s">
        <v>137</v>
      </c>
      <c r="N67" s="149" t="str">
        <f>IF(NOT(ISERROR(MATCH(M67,'Tabla Impacto'!$B$221:$B$223,0))),'Tabla Impacto'!$F$223&amp;"Por favor no seleccionar los criterios de impacto(Afectación Económica o presupuestal y Pérdida Reputacional)",M67)</f>
        <v xml:space="preserve">     Afectación menor a 10 SMLMV .</v>
      </c>
      <c r="O67" s="201" t="str">
        <f>IF(OR(N67='Tabla Impacto'!$C$11,N67='Tabla Impacto'!$D$11),"Leve",IF(OR(N67='Tabla Impacto'!$C$12,N67='Tabla Impacto'!$D$12),"Menor",IF(OR(N67='Tabla Impacto'!$C$13,N67='Tabla Impacto'!$D$13),"Moderado",IF(OR(N67='Tabla Impacto'!$C$14,N67='Tabla Impacto'!$D$14),"Mayor",IF(OR(N67='Tabla Impacto'!$C$15,N67='Tabla Impacto'!$D$15),"Catastrófico","")))))</f>
        <v>Leve</v>
      </c>
      <c r="P67" s="204">
        <f>IF(O67="","",IF(O67="Leve",0.2,IF(O67="Menor",0.4,IF(O67="Moderado",0.6,IF(O67="Mayor",0.8,IF(O67="Catastrófico",1,))))))</f>
        <v>0.2</v>
      </c>
      <c r="Q67" s="209" t="str">
        <f>IF(OR(AND(K67="Muy Baja",O67="Leve"),AND(K67="Muy Baja",O67="Menor"),AND(K67="Baja",O67="Leve")),"Bajo",IF(OR(AND(K67="Muy baja",O67="Moderado"),AND(K67="Baja",O67="Menor"),AND(K67="Baja",O67="Moderado"),AND(K67="Media",O67="Leve"),AND(K67="Media",O67="Menor"),AND(K67="Media",O67="Moderado"),AND(K67="Alta",O67="Leve"),AND(K67="Alta",O67="Menor")),"Moderado",IF(OR(AND(K67="Muy Baja",O67="Mayor"),AND(K67="Baja",O67="Mayor"),AND(K67="Media",O67="Mayor"),AND(K67="Alta",O67="Moderado"),AND(K67="Alta",O67="Mayor"),AND(K67="Muy Alta",O67="Leve"),AND(K67="Muy Alta",O67="Menor"),AND(K67="Muy Alta",O67="Moderado"),AND(K67="Muy Alta",O67="Mayor")),"Alto",IF(OR(AND(K67="Muy Baja",O67="Catastrófico"),AND(K67="Baja",O67="Catastrófico"),AND(K67="Media",O67="Catastrófico"),AND(K67="Alta",O67="Catastrófico"),AND(K67="Muy Alta",O67="Catastrófico")),"Extremo",""))))</f>
        <v>Bajo</v>
      </c>
      <c r="R67" s="100">
        <v>1</v>
      </c>
      <c r="S67" s="101" t="s">
        <v>506</v>
      </c>
      <c r="T67" s="102" t="str">
        <f t="shared" si="27"/>
        <v>Probabilidad</v>
      </c>
      <c r="U67" s="103" t="s">
        <v>14</v>
      </c>
      <c r="V67" s="103" t="s">
        <v>9</v>
      </c>
      <c r="W67" s="104" t="str">
        <f t="shared" si="28"/>
        <v>40%</v>
      </c>
      <c r="X67" s="103" t="s">
        <v>19</v>
      </c>
      <c r="Y67" s="103" t="s">
        <v>22</v>
      </c>
      <c r="Z67" s="103" t="s">
        <v>113</v>
      </c>
      <c r="AA67" s="105">
        <f t="shared" si="33"/>
        <v>0.24</v>
      </c>
      <c r="AB67" s="106" t="str">
        <f t="shared" si="29"/>
        <v>Baja</v>
      </c>
      <c r="AC67" s="107">
        <f t="shared" si="30"/>
        <v>0.24</v>
      </c>
      <c r="AD67" s="106" t="str">
        <f t="shared" si="31"/>
        <v>Leve</v>
      </c>
      <c r="AE67" s="107">
        <f t="shared" si="34"/>
        <v>0.2</v>
      </c>
      <c r="AF67" s="108" t="str">
        <f t="shared" si="32"/>
        <v>Bajo</v>
      </c>
      <c r="AG67" s="109" t="s">
        <v>129</v>
      </c>
      <c r="AH67" s="148" t="s">
        <v>507</v>
      </c>
      <c r="AI67" s="111" t="s">
        <v>224</v>
      </c>
      <c r="AJ67" s="134" t="s">
        <v>349</v>
      </c>
      <c r="AK67" s="112" t="s">
        <v>350</v>
      </c>
      <c r="AL67" s="156" t="s">
        <v>351</v>
      </c>
      <c r="AM67" s="111"/>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row>
    <row r="68" spans="1:71" ht="151.5" customHeight="1" x14ac:dyDescent="0.25">
      <c r="A68" s="212"/>
      <c r="B68" s="214"/>
      <c r="C68" s="227"/>
      <c r="D68" s="227"/>
      <c r="E68" s="218"/>
      <c r="F68" s="218"/>
      <c r="G68" s="218"/>
      <c r="H68" s="220"/>
      <c r="I68" s="218"/>
      <c r="J68" s="222"/>
      <c r="K68" s="202"/>
      <c r="L68" s="205"/>
      <c r="M68" s="208"/>
      <c r="N68" s="150"/>
      <c r="O68" s="202"/>
      <c r="P68" s="205"/>
      <c r="Q68" s="210"/>
      <c r="R68" s="100">
        <v>2</v>
      </c>
      <c r="S68" s="101" t="s">
        <v>466</v>
      </c>
      <c r="T68" s="102" t="str">
        <f t="shared" ref="T68:T69" si="107">IF(OR(U68="Preventivo",U68="Detectivo"),"Probabilidad",IF(U68="Correctivo","Impacto",""))</f>
        <v>Probabilidad</v>
      </c>
      <c r="U68" s="103" t="s">
        <v>14</v>
      </c>
      <c r="V68" s="103" t="s">
        <v>9</v>
      </c>
      <c r="W68" s="104" t="str">
        <f t="shared" ref="W68:W69" si="108">IF(AND(U68="Preventivo",V68="Automático"),"50%",IF(AND(U68="Preventivo",V68="Manual"),"40%",IF(AND(U68="Detectivo",V68="Automático"),"40%",IF(AND(U68="Detectivo",V68="Manual"),"30%",IF(AND(U68="Correctivo",V68="Automático"),"35%",IF(AND(U68="Correctivo",V68="Manual"),"25%",""))))))</f>
        <v>40%</v>
      </c>
      <c r="X68" s="103" t="s">
        <v>19</v>
      </c>
      <c r="Y68" s="103" t="s">
        <v>22</v>
      </c>
      <c r="Z68" s="103" t="s">
        <v>113</v>
      </c>
      <c r="AA68" s="105">
        <f t="shared" ref="AA68:AA69" si="109">IFERROR(IF(T68="Probabilidad",(L68-(+L68*W68)),IF(T68="Impacto",L68,"")),"")</f>
        <v>0</v>
      </c>
      <c r="AB68" s="106" t="str">
        <f t="shared" ref="AB68:AB69" si="110">IFERROR(IF(AA68="","",IF(AA68&lt;=0.2,"Muy Baja",IF(AA68&lt;=0.4,"Baja",IF(AA68&lt;=0.6,"Media",IF(AA68&lt;=0.8,"Alta","Muy Alta"))))),"")</f>
        <v>Muy Baja</v>
      </c>
      <c r="AC68" s="107">
        <f t="shared" ref="AC68:AC69" si="111">+AA68</f>
        <v>0</v>
      </c>
      <c r="AD68" s="106" t="str">
        <f t="shared" ref="AD68:AD69" si="112">IFERROR(IF(AE68="","",IF(AE68&lt;=0.2,"Leve",IF(AE68&lt;=0.4,"Menor",IF(AE68&lt;=0.6,"Moderado",IF(AE68&lt;=0.8,"Mayor","Catastrófico"))))),"")</f>
        <v>Leve</v>
      </c>
      <c r="AE68" s="107">
        <f t="shared" ref="AE68:AE69" si="113">IFERROR(IF(T68="Impacto",(P68-(+P68*W68)),IF(T68="Probabilidad",P68,"")),"")</f>
        <v>0</v>
      </c>
      <c r="AF68" s="108" t="str">
        <f t="shared" ref="AF68:AF69" si="114">IFERROR(IF(OR(AND(AB68="Muy Baja",AD68="Leve"),AND(AB68="Muy Baja",AD68="Menor"),AND(AB68="Baja",AD68="Leve")),"Bajo",IF(OR(AND(AB68="Muy baja",AD68="Moderado"),AND(AB68="Baja",AD68="Menor"),AND(AB68="Baja",AD68="Moderado"),AND(AB68="Media",AD68="Leve"),AND(AB68="Media",AD68="Menor"),AND(AB68="Media",AD68="Moderado"),AND(AB68="Alta",AD68="Leve"),AND(AB68="Alta",AD68="Menor")),"Moderado",IF(OR(AND(AB68="Muy Baja",AD68="Mayor"),AND(AB68="Baja",AD68="Mayor"),AND(AB68="Media",AD68="Mayor"),AND(AB68="Alta",AD68="Moderado"),AND(AB68="Alta",AD68="Mayor"),AND(AB68="Muy Alta",AD68="Leve"),AND(AB68="Muy Alta",AD68="Menor"),AND(AB68="Muy Alta",AD68="Moderado"),AND(AB68="Muy Alta",AD68="Mayor")),"Alto",IF(OR(AND(AB68="Muy Baja",AD68="Catastrófico"),AND(AB68="Baja",AD68="Catastrófico"),AND(AB68="Media",AD68="Catastrófico"),AND(AB68="Alta",AD68="Catastrófico"),AND(AB68="Muy Alta",AD68="Catastrófico")),"Extremo","")))),"")</f>
        <v>Bajo</v>
      </c>
      <c r="AG68" s="109" t="s">
        <v>129</v>
      </c>
      <c r="AH68" s="148" t="s">
        <v>467</v>
      </c>
      <c r="AI68" s="111" t="s">
        <v>352</v>
      </c>
      <c r="AJ68" s="112" t="s">
        <v>349</v>
      </c>
      <c r="AK68" s="112" t="s">
        <v>350</v>
      </c>
      <c r="AL68" s="156" t="s">
        <v>508</v>
      </c>
      <c r="AM68" s="111"/>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row>
    <row r="69" spans="1:71" ht="151.5" customHeight="1" x14ac:dyDescent="0.25">
      <c r="A69" s="212"/>
      <c r="B69" s="215"/>
      <c r="C69" s="227"/>
      <c r="D69" s="227"/>
      <c r="E69" s="218"/>
      <c r="F69" s="218"/>
      <c r="G69" s="218"/>
      <c r="H69" s="220"/>
      <c r="I69" s="218"/>
      <c r="J69" s="222"/>
      <c r="K69" s="203"/>
      <c r="L69" s="206"/>
      <c r="M69" s="208"/>
      <c r="N69" s="150"/>
      <c r="O69" s="203"/>
      <c r="P69" s="206"/>
      <c r="Q69" s="211"/>
      <c r="R69" s="100">
        <v>3</v>
      </c>
      <c r="S69" s="101"/>
      <c r="T69" s="102" t="str">
        <f t="shared" si="107"/>
        <v>Probabilidad</v>
      </c>
      <c r="U69" s="103" t="s">
        <v>15</v>
      </c>
      <c r="V69" s="103" t="s">
        <v>9</v>
      </c>
      <c r="W69" s="104" t="str">
        <f t="shared" si="108"/>
        <v>30%</v>
      </c>
      <c r="X69" s="103" t="s">
        <v>20</v>
      </c>
      <c r="Y69" s="103" t="s">
        <v>23</v>
      </c>
      <c r="Z69" s="103" t="s">
        <v>114</v>
      </c>
      <c r="AA69" s="105">
        <f t="shared" si="109"/>
        <v>0</v>
      </c>
      <c r="AB69" s="106" t="str">
        <f t="shared" si="110"/>
        <v>Muy Baja</v>
      </c>
      <c r="AC69" s="107">
        <f t="shared" si="111"/>
        <v>0</v>
      </c>
      <c r="AD69" s="106" t="str">
        <f t="shared" si="112"/>
        <v>Leve</v>
      </c>
      <c r="AE69" s="107">
        <f t="shared" si="113"/>
        <v>0</v>
      </c>
      <c r="AF69" s="108" t="str">
        <f t="shared" si="114"/>
        <v>Bajo</v>
      </c>
      <c r="AG69" s="109"/>
      <c r="AH69" s="148"/>
      <c r="AI69" s="111"/>
      <c r="AJ69" s="112"/>
      <c r="AK69" s="112"/>
      <c r="AL69" s="148"/>
      <c r="AM69" s="111"/>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row>
    <row r="70" spans="1:71" ht="151.5" customHeight="1" x14ac:dyDescent="0.25">
      <c r="A70" s="212">
        <v>22</v>
      </c>
      <c r="B70" s="213" t="s">
        <v>346</v>
      </c>
      <c r="C70" s="223" t="s">
        <v>547</v>
      </c>
      <c r="D70" s="223" t="s">
        <v>347</v>
      </c>
      <c r="E70" s="217" t="s">
        <v>125</v>
      </c>
      <c r="F70" s="217" t="s">
        <v>468</v>
      </c>
      <c r="G70" s="217" t="s">
        <v>354</v>
      </c>
      <c r="H70" s="219" t="s">
        <v>353</v>
      </c>
      <c r="I70" s="217" t="s">
        <v>462</v>
      </c>
      <c r="J70" s="221">
        <v>12</v>
      </c>
      <c r="K70" s="201" t="str">
        <f>IF(J70&lt;=0,"",IF(J70&lt;=2,"Muy Baja",IF(J70&lt;=24,"Baja",IF(J70&lt;=500,"Media",IF(J70&lt;=5000,"Alta","Muy Alta")))))</f>
        <v>Baja</v>
      </c>
      <c r="L70" s="204">
        <f>IF(K70="","",IF(K70="Muy Baja",0.2,IF(K70="Baja",0.4,IF(K70="Media",0.6,IF(K70="Alta",0.8,IF(K70="Muy Alta",1,))))))</f>
        <v>0.4</v>
      </c>
      <c r="M70" s="207" t="s">
        <v>145</v>
      </c>
      <c r="N70" s="149" t="str">
        <f>IF(NOT(ISERROR(MATCH(M70,'Tabla Impacto'!$B$221:$B$223,0))),'Tabla Impacto'!$F$223&amp;"Por favor no seleccionar los criterios de impacto(Afectación Económica o presupuestal y Pérdida Reputacional)",M70)</f>
        <v xml:space="preserve">     El riesgo afecta la imagen de la entidad internamente, de conocimiento general, nivel interno, de junta dircetiva y accionistas y/o de provedores</v>
      </c>
      <c r="O70" s="201" t="str">
        <f>IF(OR(N70='Tabla Impacto'!$C$11,N70='Tabla Impacto'!$D$11),"Leve",IF(OR(N70='Tabla Impacto'!$C$12,N70='Tabla Impacto'!$D$12),"Menor",IF(OR(N70='Tabla Impacto'!$C$13,N70='Tabla Impacto'!$D$13),"Moderado",IF(OR(N70='Tabla Impacto'!$C$14,N70='Tabla Impacto'!$D$14),"Mayor",IF(OR(N70='Tabla Impacto'!$C$15,N70='Tabla Impacto'!$D$15),"Catastrófico","")))))</f>
        <v>Menor</v>
      </c>
      <c r="P70" s="204">
        <f>IF(O70="","",IF(O70="Leve",0.2,IF(O70="Menor",0.4,IF(O70="Moderado",0.6,IF(O70="Mayor",0.8,IF(O70="Catastrófico",1,))))))</f>
        <v>0.4</v>
      </c>
      <c r="Q70" s="209" t="str">
        <f>IF(OR(AND(K70="Muy Baja",O70="Leve"),AND(K70="Muy Baja",O70="Menor"),AND(K70="Baja",O70="Leve")),"Bajo",IF(OR(AND(K70="Muy baja",O70="Moderado"),AND(K70="Baja",O70="Menor"),AND(K70="Baja",O70="Moderado"),AND(K70="Media",O70="Leve"),AND(K70="Media",O70="Menor"),AND(K70="Media",O70="Moderado"),AND(K70="Alta",O70="Leve"),AND(K70="Alta",O70="Menor")),"Moderado",IF(OR(AND(K70="Muy Baja",O70="Mayor"),AND(K70="Baja",O70="Mayor"),AND(K70="Media",O70="Mayor"),AND(K70="Alta",O70="Moderado"),AND(K70="Alta",O70="Mayor"),AND(K70="Muy Alta",O70="Leve"),AND(K70="Muy Alta",O70="Menor"),AND(K70="Muy Alta",O70="Moderado"),AND(K70="Muy Alta",O70="Mayor")),"Alto",IF(OR(AND(K70="Muy Baja",O70="Catastrófico"),AND(K70="Baja",O70="Catastrófico"),AND(K70="Media",O70="Catastrófico"),AND(K70="Alta",O70="Catastrófico"),AND(K70="Muy Alta",O70="Catastrófico")),"Extremo",""))))</f>
        <v>Moderado</v>
      </c>
      <c r="R70" s="100">
        <v>1</v>
      </c>
      <c r="S70" s="101" t="s">
        <v>355</v>
      </c>
      <c r="T70" s="102" t="str">
        <f t="shared" si="27"/>
        <v>Probabilidad</v>
      </c>
      <c r="U70" s="103" t="s">
        <v>15</v>
      </c>
      <c r="V70" s="103" t="s">
        <v>9</v>
      </c>
      <c r="W70" s="104" t="str">
        <f t="shared" si="28"/>
        <v>30%</v>
      </c>
      <c r="X70" s="103" t="s">
        <v>20</v>
      </c>
      <c r="Y70" s="103" t="s">
        <v>23</v>
      </c>
      <c r="Z70" s="103" t="s">
        <v>114</v>
      </c>
      <c r="AA70" s="105">
        <f t="shared" si="33"/>
        <v>0.28000000000000003</v>
      </c>
      <c r="AB70" s="106" t="str">
        <f t="shared" si="29"/>
        <v>Baja</v>
      </c>
      <c r="AC70" s="107">
        <f t="shared" si="30"/>
        <v>0.28000000000000003</v>
      </c>
      <c r="AD70" s="106" t="str">
        <f t="shared" si="31"/>
        <v>Menor</v>
      </c>
      <c r="AE70" s="107">
        <f t="shared" si="34"/>
        <v>0.4</v>
      </c>
      <c r="AF70" s="108" t="str">
        <f t="shared" si="32"/>
        <v>Moderado</v>
      </c>
      <c r="AG70" s="109" t="s">
        <v>129</v>
      </c>
      <c r="AH70" s="148" t="s">
        <v>357</v>
      </c>
      <c r="AI70" s="111" t="s">
        <v>358</v>
      </c>
      <c r="AJ70" s="112" t="s">
        <v>359</v>
      </c>
      <c r="AK70" s="112" t="s">
        <v>350</v>
      </c>
      <c r="AL70" s="148" t="s">
        <v>360</v>
      </c>
      <c r="AM70" s="111"/>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row>
    <row r="71" spans="1:71" ht="151.5" customHeight="1" x14ac:dyDescent="0.25">
      <c r="A71" s="212"/>
      <c r="B71" s="214"/>
      <c r="C71" s="227"/>
      <c r="D71" s="227"/>
      <c r="E71" s="218"/>
      <c r="F71" s="218"/>
      <c r="G71" s="218"/>
      <c r="H71" s="220"/>
      <c r="I71" s="218"/>
      <c r="J71" s="222"/>
      <c r="K71" s="202"/>
      <c r="L71" s="205"/>
      <c r="M71" s="208"/>
      <c r="N71" s="150"/>
      <c r="O71" s="202"/>
      <c r="P71" s="205"/>
      <c r="Q71" s="210"/>
      <c r="R71" s="100">
        <v>2</v>
      </c>
      <c r="S71" s="101" t="s">
        <v>469</v>
      </c>
      <c r="T71" s="102" t="str">
        <f t="shared" ref="T71:T76" si="115">IF(OR(U71="Preventivo",U71="Detectivo"),"Probabilidad",IF(U71="Correctivo","Impacto",""))</f>
        <v>Probabilidad</v>
      </c>
      <c r="U71" s="103" t="s">
        <v>15</v>
      </c>
      <c r="V71" s="103" t="s">
        <v>9</v>
      </c>
      <c r="W71" s="104" t="str">
        <f t="shared" ref="W71:W76" si="116">IF(AND(U71="Preventivo",V71="Automático"),"50%",IF(AND(U71="Preventivo",V71="Manual"),"40%",IF(AND(U71="Detectivo",V71="Automático"),"40%",IF(AND(U71="Detectivo",V71="Manual"),"30%",IF(AND(U71="Correctivo",V71="Automático"),"35%",IF(AND(U71="Correctivo",V71="Manual"),"25%",""))))))</f>
        <v>30%</v>
      </c>
      <c r="X71" s="103" t="s">
        <v>19</v>
      </c>
      <c r="Y71" s="103" t="s">
        <v>22</v>
      </c>
      <c r="Z71" s="103" t="s">
        <v>113</v>
      </c>
      <c r="AA71" s="105">
        <f t="shared" ref="AA71:AA76" si="117">IFERROR(IF(T71="Probabilidad",(L71-(+L71*W71)),IF(T71="Impacto",L71,"")),"")</f>
        <v>0</v>
      </c>
      <c r="AB71" s="106" t="str">
        <f t="shared" ref="AB71:AB76" si="118">IFERROR(IF(AA71="","",IF(AA71&lt;=0.2,"Muy Baja",IF(AA71&lt;=0.4,"Baja",IF(AA71&lt;=0.6,"Media",IF(AA71&lt;=0.8,"Alta","Muy Alta"))))),"")</f>
        <v>Muy Baja</v>
      </c>
      <c r="AC71" s="107">
        <f t="shared" ref="AC71:AC76" si="119">+AA71</f>
        <v>0</v>
      </c>
      <c r="AD71" s="106" t="str">
        <f t="shared" ref="AD71:AD76" si="120">IFERROR(IF(AE71="","",IF(AE71&lt;=0.2,"Leve",IF(AE71&lt;=0.4,"Menor",IF(AE71&lt;=0.6,"Moderado",IF(AE71&lt;=0.8,"Mayor","Catastrófico"))))),"")</f>
        <v>Leve</v>
      </c>
      <c r="AE71" s="107">
        <f t="shared" ref="AE71:AE76" si="121">IFERROR(IF(T71="Impacto",(P71-(+P71*W71)),IF(T71="Probabilidad",P71,"")),"")</f>
        <v>0</v>
      </c>
      <c r="AF71" s="108" t="str">
        <f t="shared" ref="AF71:AF76" si="122">IFERROR(IF(OR(AND(AB71="Muy Baja",AD71="Leve"),AND(AB71="Muy Baja",AD71="Menor"),AND(AB71="Baja",AD71="Leve")),"Bajo",IF(OR(AND(AB71="Muy baja",AD71="Moderado"),AND(AB71="Baja",AD71="Menor"),AND(AB71="Baja",AD71="Moderado"),AND(AB71="Media",AD71="Leve"),AND(AB71="Media",AD71="Menor"),AND(AB71="Media",AD71="Moderado"),AND(AB71="Alta",AD71="Leve"),AND(AB71="Alta",AD71="Menor")),"Moderado",IF(OR(AND(AB71="Muy Baja",AD71="Mayor"),AND(AB71="Baja",AD71="Mayor"),AND(AB71="Media",AD71="Mayor"),AND(AB71="Alta",AD71="Moderado"),AND(AB71="Alta",AD71="Mayor"),AND(AB71="Muy Alta",AD71="Leve"),AND(AB71="Muy Alta",AD71="Menor"),AND(AB71="Muy Alta",AD71="Moderado"),AND(AB71="Muy Alta",AD71="Mayor")),"Alto",IF(OR(AND(AB71="Muy Baja",AD71="Catastrófico"),AND(AB71="Baja",AD71="Catastrófico"),AND(AB71="Media",AD71="Catastrófico"),AND(AB71="Alta",AD71="Catastrófico"),AND(AB71="Muy Alta",AD71="Catastrófico")),"Extremo","")))),"")</f>
        <v>Bajo</v>
      </c>
      <c r="AG71" s="109" t="s">
        <v>129</v>
      </c>
      <c r="AH71" s="148" t="s">
        <v>470</v>
      </c>
      <c r="AI71" s="111" t="s">
        <v>358</v>
      </c>
      <c r="AJ71" s="112" t="s">
        <v>359</v>
      </c>
      <c r="AK71" s="112" t="s">
        <v>350</v>
      </c>
      <c r="AL71" s="148" t="s">
        <v>509</v>
      </c>
      <c r="AM71" s="111"/>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row>
    <row r="72" spans="1:71" ht="151.5" customHeight="1" x14ac:dyDescent="0.25">
      <c r="A72" s="212"/>
      <c r="B72" s="215"/>
      <c r="C72" s="227"/>
      <c r="D72" s="227"/>
      <c r="E72" s="218"/>
      <c r="F72" s="218"/>
      <c r="G72" s="218"/>
      <c r="H72" s="220"/>
      <c r="I72" s="218"/>
      <c r="J72" s="222"/>
      <c r="K72" s="203"/>
      <c r="L72" s="206"/>
      <c r="M72" s="208"/>
      <c r="N72" s="150"/>
      <c r="O72" s="203"/>
      <c r="P72" s="206"/>
      <c r="Q72" s="211"/>
      <c r="R72" s="100">
        <v>3</v>
      </c>
      <c r="S72" s="151" t="s">
        <v>356</v>
      </c>
      <c r="T72" s="102" t="str">
        <f t="shared" si="115"/>
        <v>Probabilidad</v>
      </c>
      <c r="U72" s="103" t="s">
        <v>15</v>
      </c>
      <c r="V72" s="103" t="s">
        <v>9</v>
      </c>
      <c r="W72" s="104" t="str">
        <f t="shared" si="116"/>
        <v>30%</v>
      </c>
      <c r="X72" s="103" t="s">
        <v>19</v>
      </c>
      <c r="Y72" s="103" t="s">
        <v>22</v>
      </c>
      <c r="Z72" s="103" t="s">
        <v>113</v>
      </c>
      <c r="AA72" s="105">
        <f t="shared" si="117"/>
        <v>0</v>
      </c>
      <c r="AB72" s="106" t="str">
        <f t="shared" si="118"/>
        <v>Muy Baja</v>
      </c>
      <c r="AC72" s="107">
        <f t="shared" si="119"/>
        <v>0</v>
      </c>
      <c r="AD72" s="106" t="str">
        <f t="shared" si="120"/>
        <v>Leve</v>
      </c>
      <c r="AE72" s="107">
        <f t="shared" si="121"/>
        <v>0</v>
      </c>
      <c r="AF72" s="108" t="str">
        <f t="shared" si="122"/>
        <v>Bajo</v>
      </c>
      <c r="AG72" s="109" t="s">
        <v>129</v>
      </c>
      <c r="AH72" s="148" t="s">
        <v>361</v>
      </c>
      <c r="AI72" s="111" t="s">
        <v>358</v>
      </c>
      <c r="AJ72" s="112" t="s">
        <v>359</v>
      </c>
      <c r="AK72" s="112" t="s">
        <v>350</v>
      </c>
      <c r="AL72" s="148" t="s">
        <v>510</v>
      </c>
      <c r="AM72" s="111"/>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row>
    <row r="73" spans="1:71" ht="151.5" customHeight="1" x14ac:dyDescent="0.25">
      <c r="A73" s="212">
        <v>23</v>
      </c>
      <c r="B73" s="213" t="s">
        <v>362</v>
      </c>
      <c r="C73" s="223" t="s">
        <v>363</v>
      </c>
      <c r="D73" s="223" t="s">
        <v>471</v>
      </c>
      <c r="E73" s="217" t="s">
        <v>125</v>
      </c>
      <c r="F73" s="217" t="s">
        <v>472</v>
      </c>
      <c r="G73" s="217" t="s">
        <v>511</v>
      </c>
      <c r="H73" s="219" t="s">
        <v>364</v>
      </c>
      <c r="I73" s="217" t="s">
        <v>119</v>
      </c>
      <c r="J73" s="221">
        <v>30</v>
      </c>
      <c r="K73" s="201" t="str">
        <f>IF(J73&lt;=0,"",IF(J73&lt;=2,"Muy Baja",IF(J73&lt;=24,"Baja",IF(J73&lt;=500,"Media",IF(J73&lt;=5000,"Alta","Muy Alta")))))</f>
        <v>Media</v>
      </c>
      <c r="L73" s="204">
        <f>IF(K73="","",IF(K73="Muy Baja",0.2,IF(K73="Baja",0.4,IF(K73="Media",0.6,IF(K73="Alta",0.8,IF(K73="Muy Alta",1,))))))</f>
        <v>0.6</v>
      </c>
      <c r="M73" s="207" t="s">
        <v>147</v>
      </c>
      <c r="N73" s="149" t="str">
        <f>IF(NOT(ISERROR(MATCH(M73,'Tabla Impacto'!$B$221:$B$223,0))),'Tabla Impacto'!$F$223&amp;"Por favor no seleccionar los criterios de impacto(Afectación Económica o presupuestal y Pérdida Reputacional)",M73)</f>
        <v xml:space="preserve">     El riesgo afecta la imagen de de la entidad con efecto publicitario sostenido a nivel de sector administrativo, nivel departamental o municipal</v>
      </c>
      <c r="O73" s="201" t="str">
        <f>IF(OR(N73='Tabla Impacto'!$C$11,N73='Tabla Impacto'!$D$11),"Leve",IF(OR(N73='Tabla Impacto'!$C$12,N73='Tabla Impacto'!$D$12),"Menor",IF(OR(N73='Tabla Impacto'!$C$13,N73='Tabla Impacto'!$D$13),"Moderado",IF(OR(N73='Tabla Impacto'!$C$14,N73='Tabla Impacto'!$D$14),"Mayor",IF(OR(N73='Tabla Impacto'!$C$15,N73='Tabla Impacto'!$D$15),"Catastrófico","")))))</f>
        <v>Mayor</v>
      </c>
      <c r="P73" s="204">
        <f>IF(O73="","",IF(O73="Leve",0.2,IF(O73="Menor",0.4,IF(O73="Moderado",0.6,IF(O73="Mayor",0.8,IF(O73="Catastrófico",1,))))))</f>
        <v>0.8</v>
      </c>
      <c r="Q73" s="209" t="str">
        <f>IF(OR(AND(K73="Muy Baja",O73="Leve"),AND(K73="Muy Baja",O73="Menor"),AND(K73="Baja",O73="Leve")),"Bajo",IF(OR(AND(K73="Muy baja",O73="Moderado"),AND(K73="Baja",O73="Menor"),AND(K73="Baja",O73="Moderado"),AND(K73="Media",O73="Leve"),AND(K73="Media",O73="Menor"),AND(K73="Media",O73="Moderado"),AND(K73="Alta",O73="Leve"),AND(K73="Alta",O73="Menor")),"Moderado",IF(OR(AND(K73="Muy Baja",O73="Mayor"),AND(K73="Baja",O73="Mayor"),AND(K73="Media",O73="Mayor"),AND(K73="Alta",O73="Moderado"),AND(K73="Alta",O73="Mayor"),AND(K73="Muy Alta",O73="Leve"),AND(K73="Muy Alta",O73="Menor"),AND(K73="Muy Alta",O73="Moderado"),AND(K73="Muy Alta",O73="Mayor")),"Alto",IF(OR(AND(K73="Muy Baja",O73="Catastrófico"),AND(K73="Baja",O73="Catastrófico"),AND(K73="Media",O73="Catastrófico"),AND(K73="Alta",O73="Catastrófico"),AND(K73="Muy Alta",O73="Catastrófico")),"Extremo",""))))</f>
        <v>Alto</v>
      </c>
      <c r="R73" s="100">
        <v>1</v>
      </c>
      <c r="S73" s="101" t="s">
        <v>512</v>
      </c>
      <c r="T73" s="102" t="str">
        <f t="shared" si="115"/>
        <v>Probabilidad</v>
      </c>
      <c r="U73" s="103" t="s">
        <v>14</v>
      </c>
      <c r="V73" s="103" t="s">
        <v>9</v>
      </c>
      <c r="W73" s="104" t="str">
        <f t="shared" si="116"/>
        <v>40%</v>
      </c>
      <c r="X73" s="103" t="s">
        <v>19</v>
      </c>
      <c r="Y73" s="103" t="s">
        <v>23</v>
      </c>
      <c r="Z73" s="103" t="s">
        <v>113</v>
      </c>
      <c r="AA73" s="105">
        <f t="shared" si="117"/>
        <v>0.36</v>
      </c>
      <c r="AB73" s="106" t="str">
        <f t="shared" si="118"/>
        <v>Baja</v>
      </c>
      <c r="AC73" s="107">
        <f t="shared" si="119"/>
        <v>0.36</v>
      </c>
      <c r="AD73" s="106" t="str">
        <f t="shared" si="120"/>
        <v>Mayor</v>
      </c>
      <c r="AE73" s="107">
        <f t="shared" si="121"/>
        <v>0.8</v>
      </c>
      <c r="AF73" s="108" t="str">
        <f t="shared" si="122"/>
        <v>Alto</v>
      </c>
      <c r="AG73" s="109" t="s">
        <v>129</v>
      </c>
      <c r="AH73" s="144" t="s">
        <v>513</v>
      </c>
      <c r="AI73" s="142" t="s">
        <v>315</v>
      </c>
      <c r="AJ73" s="143" t="s">
        <v>365</v>
      </c>
      <c r="AK73" s="143" t="s">
        <v>366</v>
      </c>
      <c r="AL73" s="144" t="s">
        <v>367</v>
      </c>
      <c r="AM73" s="111"/>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row>
    <row r="74" spans="1:71" ht="151.5" customHeight="1" x14ac:dyDescent="0.25">
      <c r="A74" s="212"/>
      <c r="B74" s="214"/>
      <c r="C74" s="224"/>
      <c r="D74" s="227"/>
      <c r="E74" s="218"/>
      <c r="F74" s="218"/>
      <c r="G74" s="218"/>
      <c r="H74" s="220"/>
      <c r="I74" s="218"/>
      <c r="J74" s="222"/>
      <c r="K74" s="202"/>
      <c r="L74" s="205"/>
      <c r="M74" s="208"/>
      <c r="N74" s="150"/>
      <c r="O74" s="202"/>
      <c r="P74" s="205"/>
      <c r="Q74" s="210"/>
      <c r="R74" s="100">
        <v>2</v>
      </c>
      <c r="S74" s="101" t="s">
        <v>514</v>
      </c>
      <c r="T74" s="102" t="str">
        <f t="shared" si="115"/>
        <v>Probabilidad</v>
      </c>
      <c r="U74" s="103" t="s">
        <v>14</v>
      </c>
      <c r="V74" s="103" t="s">
        <v>9</v>
      </c>
      <c r="W74" s="104" t="str">
        <f t="shared" si="116"/>
        <v>40%</v>
      </c>
      <c r="X74" s="103" t="s">
        <v>19</v>
      </c>
      <c r="Y74" s="103" t="s">
        <v>22</v>
      </c>
      <c r="Z74" s="103" t="s">
        <v>113</v>
      </c>
      <c r="AA74" s="105">
        <f t="shared" si="117"/>
        <v>0</v>
      </c>
      <c r="AB74" s="106" t="str">
        <f t="shared" si="118"/>
        <v>Muy Baja</v>
      </c>
      <c r="AC74" s="107">
        <f t="shared" si="119"/>
        <v>0</v>
      </c>
      <c r="AD74" s="106" t="str">
        <f t="shared" si="120"/>
        <v>Leve</v>
      </c>
      <c r="AE74" s="107">
        <f t="shared" si="121"/>
        <v>0</v>
      </c>
      <c r="AF74" s="108" t="str">
        <f t="shared" si="122"/>
        <v>Bajo</v>
      </c>
      <c r="AG74" s="109" t="s">
        <v>129</v>
      </c>
      <c r="AH74" s="144" t="s">
        <v>368</v>
      </c>
      <c r="AI74" s="142" t="s">
        <v>315</v>
      </c>
      <c r="AJ74" s="143" t="s">
        <v>365</v>
      </c>
      <c r="AK74" s="143" t="s">
        <v>366</v>
      </c>
      <c r="AL74" s="144" t="s">
        <v>367</v>
      </c>
      <c r="AM74" s="111"/>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row>
    <row r="75" spans="1:71" ht="151.5" customHeight="1" x14ac:dyDescent="0.25">
      <c r="A75" s="231"/>
      <c r="B75" s="215"/>
      <c r="C75" s="224"/>
      <c r="D75" s="227"/>
      <c r="E75" s="218"/>
      <c r="F75" s="218"/>
      <c r="G75" s="218"/>
      <c r="H75" s="220"/>
      <c r="I75" s="218"/>
      <c r="J75" s="222"/>
      <c r="K75" s="203"/>
      <c r="L75" s="206"/>
      <c r="M75" s="208"/>
      <c r="N75" s="150"/>
      <c r="O75" s="203"/>
      <c r="P75" s="206"/>
      <c r="Q75" s="211"/>
      <c r="R75" s="100">
        <v>3</v>
      </c>
      <c r="S75" s="101" t="s">
        <v>473</v>
      </c>
      <c r="T75" s="102" t="str">
        <f t="shared" si="115"/>
        <v>Probabilidad</v>
      </c>
      <c r="U75" s="103" t="s">
        <v>15</v>
      </c>
      <c r="V75" s="103" t="s">
        <v>9</v>
      </c>
      <c r="W75" s="104" t="str">
        <f t="shared" si="116"/>
        <v>30%</v>
      </c>
      <c r="X75" s="103" t="s">
        <v>19</v>
      </c>
      <c r="Y75" s="103" t="s">
        <v>22</v>
      </c>
      <c r="Z75" s="103" t="s">
        <v>113</v>
      </c>
      <c r="AA75" s="105">
        <f t="shared" si="117"/>
        <v>0</v>
      </c>
      <c r="AB75" s="106" t="str">
        <f t="shared" si="118"/>
        <v>Muy Baja</v>
      </c>
      <c r="AC75" s="107">
        <f t="shared" si="119"/>
        <v>0</v>
      </c>
      <c r="AD75" s="106" t="str">
        <f t="shared" si="120"/>
        <v>Leve</v>
      </c>
      <c r="AE75" s="107">
        <f t="shared" si="121"/>
        <v>0</v>
      </c>
      <c r="AF75" s="108" t="str">
        <f t="shared" si="122"/>
        <v>Bajo</v>
      </c>
      <c r="AG75" s="109" t="s">
        <v>129</v>
      </c>
      <c r="AH75" s="144" t="s">
        <v>537</v>
      </c>
      <c r="AI75" s="142" t="s">
        <v>315</v>
      </c>
      <c r="AJ75" s="143" t="s">
        <v>365</v>
      </c>
      <c r="AK75" s="143" t="s">
        <v>366</v>
      </c>
      <c r="AL75" s="144" t="s">
        <v>367</v>
      </c>
      <c r="AM75" s="111"/>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row>
    <row r="76" spans="1:71" ht="151.5" customHeight="1" x14ac:dyDescent="0.25">
      <c r="A76" s="216">
        <v>24</v>
      </c>
      <c r="B76" s="213" t="s">
        <v>362</v>
      </c>
      <c r="C76" s="223" t="s">
        <v>363</v>
      </c>
      <c r="D76" s="223" t="s">
        <v>471</v>
      </c>
      <c r="E76" s="217" t="s">
        <v>125</v>
      </c>
      <c r="F76" s="217" t="s">
        <v>369</v>
      </c>
      <c r="G76" s="217" t="s">
        <v>370</v>
      </c>
      <c r="H76" s="219" t="s">
        <v>371</v>
      </c>
      <c r="I76" s="217" t="s">
        <v>462</v>
      </c>
      <c r="J76" s="221">
        <v>12</v>
      </c>
      <c r="K76" s="201" t="str">
        <f>IF(J76&lt;=0,"",IF(J76&lt;=2,"Muy Baja",IF(J76&lt;=24,"Baja",IF(J76&lt;=500,"Media",IF(J76&lt;=5000,"Alta","Muy Alta")))))</f>
        <v>Baja</v>
      </c>
      <c r="L76" s="204">
        <f>IF(K76="","",IF(K76="Muy Baja",0.2,IF(K76="Baja",0.4,IF(K76="Media",0.6,IF(K76="Alta",0.8,IF(K76="Muy Alta",1,))))))</f>
        <v>0.4</v>
      </c>
      <c r="M76" s="207" t="s">
        <v>146</v>
      </c>
      <c r="N76" s="149" t="str">
        <f>IF(NOT(ISERROR(MATCH(M76,'Tabla Impacto'!$B$221:$B$223,0))),'Tabla Impacto'!$F$223&amp;"Por favor no seleccionar los criterios de impacto(Afectación Económica o presupuestal y Pérdida Reputacional)",M76)</f>
        <v xml:space="preserve">     El riesgo afecta la imagen de la entidad con algunos usuarios de relevancia frente al logro de los objetivos</v>
      </c>
      <c r="O76" s="201" t="str">
        <f>IF(OR(N76='Tabla Impacto'!$C$11,N76='Tabla Impacto'!$D$11),"Leve",IF(OR(N76='Tabla Impacto'!$C$12,N76='Tabla Impacto'!$D$12),"Menor",IF(OR(N76='Tabla Impacto'!$C$13,N76='Tabla Impacto'!$D$13),"Moderado",IF(OR(N76='Tabla Impacto'!$C$14,N76='Tabla Impacto'!$D$14),"Mayor",IF(OR(N76='Tabla Impacto'!$C$15,N76='Tabla Impacto'!$D$15),"Catastrófico","")))))</f>
        <v>Moderado</v>
      </c>
      <c r="P76" s="204">
        <f>IF(O76="","",IF(O76="Leve",0.2,IF(O76="Menor",0.4,IF(O76="Moderado",0.6,IF(O76="Mayor",0.8,IF(O76="Catastrófico",1,))))))</f>
        <v>0.6</v>
      </c>
      <c r="Q76" s="209" t="str">
        <f>IF(OR(AND(K76="Muy Baja",O76="Leve"),AND(K76="Muy Baja",O76="Menor"),AND(K76="Baja",O76="Leve")),"Bajo",IF(OR(AND(K76="Muy baja",O76="Moderado"),AND(K76="Baja",O76="Menor"),AND(K76="Baja",O76="Moderado"),AND(K76="Media",O76="Leve"),AND(K76="Media",O76="Menor"),AND(K76="Media",O76="Moderado"),AND(K76="Alta",O76="Leve"),AND(K76="Alta",O76="Menor")),"Moderado",IF(OR(AND(K76="Muy Baja",O76="Mayor"),AND(K76="Baja",O76="Mayor"),AND(K76="Media",O76="Mayor"),AND(K76="Alta",O76="Moderado"),AND(K76="Alta",O76="Mayor"),AND(K76="Muy Alta",O76="Leve"),AND(K76="Muy Alta",O76="Menor"),AND(K76="Muy Alta",O76="Moderado"),AND(K76="Muy Alta",O76="Mayor")),"Alto",IF(OR(AND(K76="Muy Baja",O76="Catastrófico"),AND(K76="Baja",O76="Catastrófico"),AND(K76="Media",O76="Catastrófico"),AND(K76="Alta",O76="Catastrófico"),AND(K76="Muy Alta",O76="Catastrófico")),"Extremo",""))))</f>
        <v>Moderado</v>
      </c>
      <c r="R76" s="100">
        <v>1</v>
      </c>
      <c r="S76" s="101" t="s">
        <v>372</v>
      </c>
      <c r="T76" s="102" t="str">
        <f t="shared" si="115"/>
        <v>Probabilidad</v>
      </c>
      <c r="U76" s="103" t="s">
        <v>14</v>
      </c>
      <c r="V76" s="103" t="s">
        <v>9</v>
      </c>
      <c r="W76" s="104" t="str">
        <f t="shared" si="116"/>
        <v>40%</v>
      </c>
      <c r="X76" s="103" t="s">
        <v>19</v>
      </c>
      <c r="Y76" s="103" t="s">
        <v>22</v>
      </c>
      <c r="Z76" s="103" t="s">
        <v>113</v>
      </c>
      <c r="AA76" s="105">
        <f t="shared" si="117"/>
        <v>0.24</v>
      </c>
      <c r="AB76" s="106" t="str">
        <f t="shared" si="118"/>
        <v>Baja</v>
      </c>
      <c r="AC76" s="107">
        <f t="shared" si="119"/>
        <v>0.24</v>
      </c>
      <c r="AD76" s="106" t="str">
        <f t="shared" si="120"/>
        <v>Moderado</v>
      </c>
      <c r="AE76" s="107">
        <f t="shared" si="121"/>
        <v>0.6</v>
      </c>
      <c r="AF76" s="108" t="str">
        <f t="shared" si="122"/>
        <v>Moderado</v>
      </c>
      <c r="AG76" s="109" t="s">
        <v>129</v>
      </c>
      <c r="AH76" s="148" t="s">
        <v>373</v>
      </c>
      <c r="AI76" s="111" t="s">
        <v>224</v>
      </c>
      <c r="AJ76" s="112" t="s">
        <v>225</v>
      </c>
      <c r="AK76" s="112" t="s">
        <v>225</v>
      </c>
      <c r="AL76" s="148" t="s">
        <v>374</v>
      </c>
      <c r="AM76" s="111"/>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row>
    <row r="77" spans="1:71" ht="151.5" customHeight="1" x14ac:dyDescent="0.25">
      <c r="A77" s="212"/>
      <c r="B77" s="214"/>
      <c r="C77" s="224"/>
      <c r="D77" s="227"/>
      <c r="E77" s="218"/>
      <c r="F77" s="218"/>
      <c r="G77" s="218"/>
      <c r="H77" s="220"/>
      <c r="I77" s="218"/>
      <c r="J77" s="222"/>
      <c r="K77" s="202"/>
      <c r="L77" s="205"/>
      <c r="M77" s="208"/>
      <c r="N77" s="150"/>
      <c r="O77" s="202"/>
      <c r="P77" s="205"/>
      <c r="Q77" s="210"/>
      <c r="R77" s="100">
        <v>2</v>
      </c>
      <c r="S77" s="101"/>
      <c r="T77" s="102" t="str">
        <f t="shared" ref="T77:T78" si="123">IF(OR(U77="Preventivo",U77="Detectivo"),"Probabilidad",IF(U77="Correctivo","Impacto",""))</f>
        <v>Probabilidad</v>
      </c>
      <c r="U77" s="103" t="s">
        <v>15</v>
      </c>
      <c r="V77" s="103" t="s">
        <v>9</v>
      </c>
      <c r="W77" s="104" t="str">
        <f t="shared" ref="W77:W78" si="124">IF(AND(U77="Preventivo",V77="Automático"),"50%",IF(AND(U77="Preventivo",V77="Manual"),"40%",IF(AND(U77="Detectivo",V77="Automático"),"40%",IF(AND(U77="Detectivo",V77="Manual"),"30%",IF(AND(U77="Correctivo",V77="Automático"),"35%",IF(AND(U77="Correctivo",V77="Manual"),"25%",""))))))</f>
        <v>30%</v>
      </c>
      <c r="X77" s="103" t="s">
        <v>20</v>
      </c>
      <c r="Y77" s="103" t="s">
        <v>23</v>
      </c>
      <c r="Z77" s="103" t="s">
        <v>114</v>
      </c>
      <c r="AA77" s="105">
        <f t="shared" ref="AA77:AA78" si="125">IFERROR(IF(T77="Probabilidad",(L77-(+L77*W77)),IF(T77="Impacto",L77,"")),"")</f>
        <v>0</v>
      </c>
      <c r="AB77" s="106" t="str">
        <f t="shared" ref="AB77:AB78" si="126">IFERROR(IF(AA77="","",IF(AA77&lt;=0.2,"Muy Baja",IF(AA77&lt;=0.4,"Baja",IF(AA77&lt;=0.6,"Media",IF(AA77&lt;=0.8,"Alta","Muy Alta"))))),"")</f>
        <v>Muy Baja</v>
      </c>
      <c r="AC77" s="107">
        <f t="shared" ref="AC77:AC78" si="127">+AA77</f>
        <v>0</v>
      </c>
      <c r="AD77" s="106" t="str">
        <f t="shared" ref="AD77:AD78" si="128">IFERROR(IF(AE77="","",IF(AE77&lt;=0.2,"Leve",IF(AE77&lt;=0.4,"Menor",IF(AE77&lt;=0.6,"Moderado",IF(AE77&lt;=0.8,"Mayor","Catastrófico"))))),"")</f>
        <v>Leve</v>
      </c>
      <c r="AE77" s="107">
        <f t="shared" ref="AE77:AE78" si="129">IFERROR(IF(T77="Impacto",(P77-(+P77*W77)),IF(T77="Probabilidad",P77,"")),"")</f>
        <v>0</v>
      </c>
      <c r="AF77" s="108" t="str">
        <f t="shared" ref="AF77:AF78" si="130">IFERROR(IF(OR(AND(AB77="Muy Baja",AD77="Leve"),AND(AB77="Muy Baja",AD77="Menor"),AND(AB77="Baja",AD77="Leve")),"Bajo",IF(OR(AND(AB77="Muy baja",AD77="Moderado"),AND(AB77="Baja",AD77="Menor"),AND(AB77="Baja",AD77="Moderado"),AND(AB77="Media",AD77="Leve"),AND(AB77="Media",AD77="Menor"),AND(AB77="Media",AD77="Moderado"),AND(AB77="Alta",AD77="Leve"),AND(AB77="Alta",AD77="Menor")),"Moderado",IF(OR(AND(AB77="Muy Baja",AD77="Mayor"),AND(AB77="Baja",AD77="Mayor"),AND(AB77="Media",AD77="Mayor"),AND(AB77="Alta",AD77="Moderado"),AND(AB77="Alta",AD77="Mayor"),AND(AB77="Muy Alta",AD77="Leve"),AND(AB77="Muy Alta",AD77="Menor"),AND(AB77="Muy Alta",AD77="Moderado"),AND(AB77="Muy Alta",AD77="Mayor")),"Alto",IF(OR(AND(AB77="Muy Baja",AD77="Catastrófico"),AND(AB77="Baja",AD77="Catastrófico"),AND(AB77="Media",AD77="Catastrófico"),AND(AB77="Alta",AD77="Catastrófico"),AND(AB77="Muy Alta",AD77="Catastrófico")),"Extremo","")))),"")</f>
        <v>Bajo</v>
      </c>
      <c r="AG77" s="109"/>
      <c r="AH77" s="148"/>
      <c r="AI77" s="111"/>
      <c r="AJ77" s="112"/>
      <c r="AK77" s="112"/>
      <c r="AL77" s="148"/>
      <c r="AM77" s="111"/>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row>
    <row r="78" spans="1:71" ht="151.5" customHeight="1" x14ac:dyDescent="0.25">
      <c r="A78" s="212"/>
      <c r="B78" s="215"/>
      <c r="C78" s="224"/>
      <c r="D78" s="227"/>
      <c r="E78" s="218"/>
      <c r="F78" s="218"/>
      <c r="G78" s="218"/>
      <c r="H78" s="220"/>
      <c r="I78" s="218"/>
      <c r="J78" s="222"/>
      <c r="K78" s="203"/>
      <c r="L78" s="206"/>
      <c r="M78" s="208"/>
      <c r="N78" s="150"/>
      <c r="O78" s="203"/>
      <c r="P78" s="206"/>
      <c r="Q78" s="211"/>
      <c r="R78" s="100">
        <v>3</v>
      </c>
      <c r="S78" s="101"/>
      <c r="T78" s="102" t="str">
        <f t="shared" si="123"/>
        <v>Probabilidad</v>
      </c>
      <c r="U78" s="103" t="s">
        <v>15</v>
      </c>
      <c r="V78" s="103" t="s">
        <v>9</v>
      </c>
      <c r="W78" s="104" t="str">
        <f t="shared" si="124"/>
        <v>30%</v>
      </c>
      <c r="X78" s="103" t="s">
        <v>20</v>
      </c>
      <c r="Y78" s="103" t="s">
        <v>23</v>
      </c>
      <c r="Z78" s="103" t="s">
        <v>114</v>
      </c>
      <c r="AA78" s="105">
        <f t="shared" si="125"/>
        <v>0</v>
      </c>
      <c r="AB78" s="106" t="str">
        <f t="shared" si="126"/>
        <v>Muy Baja</v>
      </c>
      <c r="AC78" s="107">
        <f t="shared" si="127"/>
        <v>0</v>
      </c>
      <c r="AD78" s="106" t="str">
        <f t="shared" si="128"/>
        <v>Leve</v>
      </c>
      <c r="AE78" s="107">
        <f t="shared" si="129"/>
        <v>0</v>
      </c>
      <c r="AF78" s="108" t="str">
        <f t="shared" si="130"/>
        <v>Bajo</v>
      </c>
      <c r="AG78" s="109"/>
      <c r="AH78" s="148"/>
      <c r="AI78" s="111"/>
      <c r="AJ78" s="112"/>
      <c r="AK78" s="112"/>
      <c r="AL78" s="148"/>
      <c r="AM78" s="111"/>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row>
    <row r="79" spans="1:71" ht="151.5" customHeight="1" x14ac:dyDescent="0.25">
      <c r="A79" s="212">
        <v>25</v>
      </c>
      <c r="B79" s="213" t="s">
        <v>362</v>
      </c>
      <c r="C79" s="223" t="s">
        <v>363</v>
      </c>
      <c r="D79" s="223" t="s">
        <v>471</v>
      </c>
      <c r="E79" s="217" t="s">
        <v>127</v>
      </c>
      <c r="F79" s="217" t="s">
        <v>376</v>
      </c>
      <c r="G79" s="217" t="s">
        <v>377</v>
      </c>
      <c r="H79" s="219" t="s">
        <v>375</v>
      </c>
      <c r="I79" s="217" t="s">
        <v>462</v>
      </c>
      <c r="J79" s="221">
        <v>12</v>
      </c>
      <c r="K79" s="201" t="str">
        <f>IF(J79&lt;=0,"",IF(J79&lt;=2,"Muy Baja",IF(J79&lt;=24,"Baja",IF(J79&lt;=500,"Media",IF(J79&lt;=5000,"Alta","Muy Alta")))))</f>
        <v>Baja</v>
      </c>
      <c r="L79" s="204">
        <f>IF(K79="","",IF(K79="Muy Baja",0.2,IF(K79="Baja",0.4,IF(K79="Media",0.6,IF(K79="Alta",0.8,IF(K79="Muy Alta",1,))))))</f>
        <v>0.4</v>
      </c>
      <c r="M79" s="207" t="s">
        <v>146</v>
      </c>
      <c r="N79" s="149" t="str">
        <f>IF(NOT(ISERROR(MATCH(M79,'Tabla Impacto'!$B$221:$B$223,0))),'Tabla Impacto'!$F$223&amp;"Por favor no seleccionar los criterios de impacto(Afectación Económica o presupuestal y Pérdida Reputacional)",M79)</f>
        <v xml:space="preserve">     El riesgo afecta la imagen de la entidad con algunos usuarios de relevancia frente al logro de los objetivos</v>
      </c>
      <c r="O79" s="201" t="str">
        <f>IF(OR(N79='Tabla Impacto'!$C$11,N79='Tabla Impacto'!$D$11),"Leve",IF(OR(N79='Tabla Impacto'!$C$12,N79='Tabla Impacto'!$D$12),"Menor",IF(OR(N79='Tabla Impacto'!$C$13,N79='Tabla Impacto'!$D$13),"Moderado",IF(OR(N79='Tabla Impacto'!$C$14,N79='Tabla Impacto'!$D$14),"Mayor",IF(OR(N79='Tabla Impacto'!$C$15,N79='Tabla Impacto'!$D$15),"Catastrófico","")))))</f>
        <v>Moderado</v>
      </c>
      <c r="P79" s="204">
        <f>IF(O79="","",IF(O79="Leve",0.2,IF(O79="Menor",0.4,IF(O79="Moderado",0.6,IF(O79="Mayor",0.8,IF(O79="Catastrófico",1,))))))</f>
        <v>0.6</v>
      </c>
      <c r="Q79" s="209" t="str">
        <f>IF(OR(AND(K79="Muy Baja",O79="Leve"),AND(K79="Muy Baja",O79="Menor"),AND(K79="Baja",O79="Leve")),"Bajo",IF(OR(AND(K79="Muy baja",O79="Moderado"),AND(K79="Baja",O79="Menor"),AND(K79="Baja",O79="Moderado"),AND(K79="Media",O79="Leve"),AND(K79="Media",O79="Menor"),AND(K79="Media",O79="Moderado"),AND(K79="Alta",O79="Leve"),AND(K79="Alta",O79="Menor")),"Moderado",IF(OR(AND(K79="Muy Baja",O79="Mayor"),AND(K79="Baja",O79="Mayor"),AND(K79="Media",O79="Mayor"),AND(K79="Alta",O79="Moderado"),AND(K79="Alta",O79="Mayor"),AND(K79="Muy Alta",O79="Leve"),AND(K79="Muy Alta",O79="Menor"),AND(K79="Muy Alta",O79="Moderado"),AND(K79="Muy Alta",O79="Mayor")),"Alto",IF(OR(AND(K79="Muy Baja",O79="Catastrófico"),AND(K79="Baja",O79="Catastrófico"),AND(K79="Media",O79="Catastrófico"),AND(K79="Alta",O79="Catastrófico"),AND(K79="Muy Alta",O79="Catastrófico")),"Extremo",""))))</f>
        <v>Moderado</v>
      </c>
      <c r="R79" s="100">
        <v>1</v>
      </c>
      <c r="S79" s="101" t="s">
        <v>515</v>
      </c>
      <c r="T79" s="102" t="str">
        <f t="shared" si="27"/>
        <v>Probabilidad</v>
      </c>
      <c r="U79" s="103" t="s">
        <v>14</v>
      </c>
      <c r="V79" s="103" t="s">
        <v>9</v>
      </c>
      <c r="W79" s="104" t="str">
        <f t="shared" si="28"/>
        <v>40%</v>
      </c>
      <c r="X79" s="103" t="s">
        <v>19</v>
      </c>
      <c r="Y79" s="103" t="s">
        <v>22</v>
      </c>
      <c r="Z79" s="103" t="s">
        <v>113</v>
      </c>
      <c r="AA79" s="105">
        <f t="shared" si="33"/>
        <v>0.24</v>
      </c>
      <c r="AB79" s="106" t="str">
        <f t="shared" si="29"/>
        <v>Baja</v>
      </c>
      <c r="AC79" s="107">
        <f t="shared" si="30"/>
        <v>0.24</v>
      </c>
      <c r="AD79" s="106" t="str">
        <f t="shared" si="31"/>
        <v>Moderado</v>
      </c>
      <c r="AE79" s="107">
        <f t="shared" si="34"/>
        <v>0.6</v>
      </c>
      <c r="AF79" s="108" t="str">
        <f t="shared" si="32"/>
        <v>Moderado</v>
      </c>
      <c r="AG79" s="109" t="s">
        <v>129</v>
      </c>
      <c r="AH79" s="148" t="s">
        <v>378</v>
      </c>
      <c r="AI79" s="110" t="s">
        <v>315</v>
      </c>
      <c r="AJ79" s="112" t="s">
        <v>365</v>
      </c>
      <c r="AK79" s="112" t="s">
        <v>366</v>
      </c>
      <c r="AL79" s="148" t="s">
        <v>379</v>
      </c>
      <c r="AM79" s="111"/>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row>
    <row r="80" spans="1:71" ht="151.5" customHeight="1" x14ac:dyDescent="0.25">
      <c r="A80" s="212"/>
      <c r="B80" s="214"/>
      <c r="C80" s="224"/>
      <c r="D80" s="227"/>
      <c r="E80" s="218"/>
      <c r="F80" s="218"/>
      <c r="G80" s="218"/>
      <c r="H80" s="220"/>
      <c r="I80" s="218"/>
      <c r="J80" s="222"/>
      <c r="K80" s="202"/>
      <c r="L80" s="205"/>
      <c r="M80" s="208"/>
      <c r="N80" s="150"/>
      <c r="O80" s="202"/>
      <c r="P80" s="205"/>
      <c r="Q80" s="210"/>
      <c r="R80" s="100">
        <v>2</v>
      </c>
      <c r="S80" s="101" t="s">
        <v>474</v>
      </c>
      <c r="T80" s="102" t="str">
        <f t="shared" ref="T80:T81" si="131">IF(OR(U80="Preventivo",U80="Detectivo"),"Probabilidad",IF(U80="Correctivo","Impacto",""))</f>
        <v>Probabilidad</v>
      </c>
      <c r="U80" s="103" t="s">
        <v>15</v>
      </c>
      <c r="V80" s="103" t="s">
        <v>9</v>
      </c>
      <c r="W80" s="104" t="str">
        <f t="shared" ref="W80:W81" si="132">IF(AND(U80="Preventivo",V80="Automático"),"50%",IF(AND(U80="Preventivo",V80="Manual"),"40%",IF(AND(U80="Detectivo",V80="Automático"),"40%",IF(AND(U80="Detectivo",V80="Manual"),"30%",IF(AND(U80="Correctivo",V80="Automático"),"35%",IF(AND(U80="Correctivo",V80="Manual"),"25%",""))))))</f>
        <v>30%</v>
      </c>
      <c r="X80" s="103" t="s">
        <v>20</v>
      </c>
      <c r="Y80" s="103" t="s">
        <v>23</v>
      </c>
      <c r="Z80" s="103" t="s">
        <v>113</v>
      </c>
      <c r="AA80" s="105">
        <f t="shared" ref="AA80:AA81" si="133">IFERROR(IF(T80="Probabilidad",(L80-(+L80*W80)),IF(T80="Impacto",L80,"")),"")</f>
        <v>0</v>
      </c>
      <c r="AB80" s="106" t="str">
        <f t="shared" ref="AB80:AB81" si="134">IFERROR(IF(AA80="","",IF(AA80&lt;=0.2,"Muy Baja",IF(AA80&lt;=0.4,"Baja",IF(AA80&lt;=0.6,"Media",IF(AA80&lt;=0.8,"Alta","Muy Alta"))))),"")</f>
        <v>Muy Baja</v>
      </c>
      <c r="AC80" s="107">
        <f t="shared" ref="AC80:AC81" si="135">+AA80</f>
        <v>0</v>
      </c>
      <c r="AD80" s="106" t="str">
        <f t="shared" ref="AD80:AD81" si="136">IFERROR(IF(AE80="","",IF(AE80&lt;=0.2,"Leve",IF(AE80&lt;=0.4,"Menor",IF(AE80&lt;=0.6,"Moderado",IF(AE80&lt;=0.8,"Mayor","Catastrófico"))))),"")</f>
        <v>Leve</v>
      </c>
      <c r="AE80" s="107">
        <f t="shared" ref="AE80:AE81" si="137">IFERROR(IF(T80="Impacto",(P80-(+P80*W80)),IF(T80="Probabilidad",P80,"")),"")</f>
        <v>0</v>
      </c>
      <c r="AF80" s="108" t="str">
        <f t="shared" ref="AF80:AF81" si="138">IFERROR(IF(OR(AND(AB80="Muy Baja",AD80="Leve"),AND(AB80="Muy Baja",AD80="Menor"),AND(AB80="Baja",AD80="Leve")),"Bajo",IF(OR(AND(AB80="Muy baja",AD80="Moderado"),AND(AB80="Baja",AD80="Menor"),AND(AB80="Baja",AD80="Moderado"),AND(AB80="Media",AD80="Leve"),AND(AB80="Media",AD80="Menor"),AND(AB80="Media",AD80="Moderado"),AND(AB80="Alta",AD80="Leve"),AND(AB80="Alta",AD80="Menor")),"Moderado",IF(OR(AND(AB80="Muy Baja",AD80="Mayor"),AND(AB80="Baja",AD80="Mayor"),AND(AB80="Media",AD80="Mayor"),AND(AB80="Alta",AD80="Moderado"),AND(AB80="Alta",AD80="Mayor"),AND(AB80="Muy Alta",AD80="Leve"),AND(AB80="Muy Alta",AD80="Menor"),AND(AB80="Muy Alta",AD80="Moderado"),AND(AB80="Muy Alta",AD80="Mayor")),"Alto",IF(OR(AND(AB80="Muy Baja",AD80="Catastrófico"),AND(AB80="Baja",AD80="Catastrófico"),AND(AB80="Media",AD80="Catastrófico"),AND(AB80="Alta",AD80="Catastrófico"),AND(AB80="Muy Alta",AD80="Catastrófico")),"Extremo","")))),"")</f>
        <v>Bajo</v>
      </c>
      <c r="AG80" s="109" t="s">
        <v>129</v>
      </c>
      <c r="AH80" s="148" t="s">
        <v>516</v>
      </c>
      <c r="AI80" s="110" t="s">
        <v>315</v>
      </c>
      <c r="AJ80" s="112" t="s">
        <v>365</v>
      </c>
      <c r="AK80" s="112" t="s">
        <v>366</v>
      </c>
      <c r="AL80" s="148" t="s">
        <v>379</v>
      </c>
      <c r="AM80" s="111"/>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row>
    <row r="81" spans="1:71" ht="151.5" customHeight="1" x14ac:dyDescent="0.25">
      <c r="A81" s="212"/>
      <c r="B81" s="215"/>
      <c r="C81" s="224"/>
      <c r="D81" s="227"/>
      <c r="E81" s="218"/>
      <c r="F81" s="218"/>
      <c r="G81" s="218"/>
      <c r="H81" s="220"/>
      <c r="I81" s="218"/>
      <c r="J81" s="222"/>
      <c r="K81" s="203"/>
      <c r="L81" s="206"/>
      <c r="M81" s="208"/>
      <c r="N81" s="150"/>
      <c r="O81" s="203"/>
      <c r="P81" s="206"/>
      <c r="Q81" s="211"/>
      <c r="R81" s="100">
        <v>3</v>
      </c>
      <c r="S81" s="101" t="s">
        <v>517</v>
      </c>
      <c r="T81" s="102" t="str">
        <f t="shared" si="131"/>
        <v>Probabilidad</v>
      </c>
      <c r="U81" s="103" t="s">
        <v>14</v>
      </c>
      <c r="V81" s="103" t="s">
        <v>9</v>
      </c>
      <c r="W81" s="104" t="str">
        <f t="shared" si="132"/>
        <v>40%</v>
      </c>
      <c r="X81" s="103" t="s">
        <v>19</v>
      </c>
      <c r="Y81" s="103" t="s">
        <v>22</v>
      </c>
      <c r="Z81" s="103" t="s">
        <v>113</v>
      </c>
      <c r="AA81" s="105">
        <f t="shared" si="133"/>
        <v>0</v>
      </c>
      <c r="AB81" s="106" t="str">
        <f t="shared" si="134"/>
        <v>Muy Baja</v>
      </c>
      <c r="AC81" s="107">
        <f t="shared" si="135"/>
        <v>0</v>
      </c>
      <c r="AD81" s="106" t="str">
        <f t="shared" si="136"/>
        <v>Leve</v>
      </c>
      <c r="AE81" s="107">
        <f t="shared" si="137"/>
        <v>0</v>
      </c>
      <c r="AF81" s="108" t="str">
        <f t="shared" si="138"/>
        <v>Bajo</v>
      </c>
      <c r="AG81" s="109" t="s">
        <v>129</v>
      </c>
      <c r="AH81" s="148" t="s">
        <v>518</v>
      </c>
      <c r="AI81" s="110" t="s">
        <v>315</v>
      </c>
      <c r="AJ81" s="112" t="s">
        <v>365</v>
      </c>
      <c r="AK81" s="112" t="s">
        <v>366</v>
      </c>
      <c r="AL81" s="148" t="s">
        <v>379</v>
      </c>
      <c r="AM81" s="111"/>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row>
    <row r="82" spans="1:71" ht="151.5" customHeight="1" x14ac:dyDescent="0.25">
      <c r="A82" s="212">
        <v>26</v>
      </c>
      <c r="B82" s="213" t="s">
        <v>380</v>
      </c>
      <c r="C82" s="223" t="s">
        <v>548</v>
      </c>
      <c r="D82" s="223" t="s">
        <v>539</v>
      </c>
      <c r="E82" s="217" t="s">
        <v>127</v>
      </c>
      <c r="F82" s="217" t="s">
        <v>381</v>
      </c>
      <c r="G82" s="217" t="s">
        <v>382</v>
      </c>
      <c r="H82" s="219" t="s">
        <v>383</v>
      </c>
      <c r="I82" s="217" t="s">
        <v>119</v>
      </c>
      <c r="J82" s="221">
        <v>50</v>
      </c>
      <c r="K82" s="201" t="str">
        <f>IF(J82&lt;=0,"",IF(J82&lt;=2,"Muy Baja",IF(J82&lt;=24,"Baja",IF(J82&lt;=500,"Media",IF(J82&lt;=5000,"Alta","Muy Alta")))))</f>
        <v>Media</v>
      </c>
      <c r="L82" s="204">
        <f>IF(K82="","",IF(K82="Muy Baja",0.2,IF(K82="Baja",0.4,IF(K82="Media",0.6,IF(K82="Alta",0.8,IF(K82="Muy Alta",1,))))))</f>
        <v>0.6</v>
      </c>
      <c r="M82" s="207" t="s">
        <v>142</v>
      </c>
      <c r="N82" s="149" t="str">
        <f>IF(NOT(ISERROR(MATCH(M82,'Tabla Impacto'!$B$221:$B$223,0))),'Tabla Impacto'!$F$223&amp;"Por favor no seleccionar los criterios de impacto(Afectación Económica o presupuestal y Pérdida Reputacional)",M82)</f>
        <v xml:space="preserve">     Entre 100 y 500 SMLMV </v>
      </c>
      <c r="O82" s="201" t="str">
        <f>IF(OR(N82='Tabla Impacto'!$C$11,N82='Tabla Impacto'!$D$11),"Leve",IF(OR(N82='Tabla Impacto'!$C$12,N82='Tabla Impacto'!$D$12),"Menor",IF(OR(N82='Tabla Impacto'!$C$13,N82='Tabla Impacto'!$D$13),"Moderado",IF(OR(N82='Tabla Impacto'!$C$14,N82='Tabla Impacto'!$D$14),"Mayor",IF(OR(N82='Tabla Impacto'!$C$15,N82='Tabla Impacto'!$D$15),"Catastrófico","")))))</f>
        <v>Mayor</v>
      </c>
      <c r="P82" s="204">
        <f>IF(O82="","",IF(O82="Leve",0.2,IF(O82="Menor",0.4,IF(O82="Moderado",0.6,IF(O82="Mayor",0.8,IF(O82="Catastrófico",1,))))))</f>
        <v>0.8</v>
      </c>
      <c r="Q82" s="209" t="str">
        <f>IF(OR(AND(K82="Muy Baja",O82="Leve"),AND(K82="Muy Baja",O82="Menor"),AND(K82="Baja",O82="Leve")),"Bajo",IF(OR(AND(K82="Muy baja",O82="Moderado"),AND(K82="Baja",O82="Menor"),AND(K82="Baja",O82="Moderado"),AND(K82="Media",O82="Leve"),AND(K82="Media",O82="Menor"),AND(K82="Media",O82="Moderado"),AND(K82="Alta",O82="Leve"),AND(K82="Alta",O82="Menor")),"Moderado",IF(OR(AND(K82="Muy Baja",O82="Mayor"),AND(K82="Baja",O82="Mayor"),AND(K82="Media",O82="Mayor"),AND(K82="Alta",O82="Moderado"),AND(K82="Alta",O82="Mayor"),AND(K82="Muy Alta",O82="Leve"),AND(K82="Muy Alta",O82="Menor"),AND(K82="Muy Alta",O82="Moderado"),AND(K82="Muy Alta",O82="Mayor")),"Alto",IF(OR(AND(K82="Muy Baja",O82="Catastrófico"),AND(K82="Baja",O82="Catastrófico"),AND(K82="Media",O82="Catastrófico"),AND(K82="Alta",O82="Catastrófico"),AND(K82="Muy Alta",O82="Catastrófico")),"Extremo",""))))</f>
        <v>Alto</v>
      </c>
      <c r="R82" s="100">
        <v>1</v>
      </c>
      <c r="S82" s="101" t="s">
        <v>519</v>
      </c>
      <c r="T82" s="102" t="str">
        <f t="shared" si="27"/>
        <v>Probabilidad</v>
      </c>
      <c r="U82" s="103" t="s">
        <v>14</v>
      </c>
      <c r="V82" s="103" t="s">
        <v>9</v>
      </c>
      <c r="W82" s="104" t="str">
        <f t="shared" si="28"/>
        <v>40%</v>
      </c>
      <c r="X82" s="103" t="s">
        <v>19</v>
      </c>
      <c r="Y82" s="103" t="s">
        <v>22</v>
      </c>
      <c r="Z82" s="103" t="s">
        <v>113</v>
      </c>
      <c r="AA82" s="105">
        <f t="shared" si="33"/>
        <v>0.36</v>
      </c>
      <c r="AB82" s="106" t="str">
        <f t="shared" si="29"/>
        <v>Baja</v>
      </c>
      <c r="AC82" s="107">
        <f t="shared" si="30"/>
        <v>0.36</v>
      </c>
      <c r="AD82" s="106" t="str">
        <f t="shared" si="31"/>
        <v>Mayor</v>
      </c>
      <c r="AE82" s="107">
        <f t="shared" si="34"/>
        <v>0.8</v>
      </c>
      <c r="AF82" s="108" t="str">
        <f t="shared" si="32"/>
        <v>Alto</v>
      </c>
      <c r="AG82" s="109" t="s">
        <v>129</v>
      </c>
      <c r="AH82" s="148" t="s">
        <v>475</v>
      </c>
      <c r="AI82" s="111" t="s">
        <v>384</v>
      </c>
      <c r="AJ82" s="112">
        <v>44469</v>
      </c>
      <c r="AK82" s="112">
        <v>44561</v>
      </c>
      <c r="AL82" s="148" t="s">
        <v>257</v>
      </c>
      <c r="AM82" s="111"/>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row>
    <row r="83" spans="1:71" ht="151.5" customHeight="1" x14ac:dyDescent="0.25">
      <c r="A83" s="212"/>
      <c r="B83" s="214"/>
      <c r="C83" s="227"/>
      <c r="D83" s="227"/>
      <c r="E83" s="218"/>
      <c r="F83" s="218"/>
      <c r="G83" s="218"/>
      <c r="H83" s="220"/>
      <c r="I83" s="218"/>
      <c r="J83" s="222"/>
      <c r="K83" s="202"/>
      <c r="L83" s="205"/>
      <c r="M83" s="208"/>
      <c r="N83" s="150"/>
      <c r="O83" s="202"/>
      <c r="P83" s="205"/>
      <c r="Q83" s="210"/>
      <c r="R83" s="100">
        <v>2</v>
      </c>
      <c r="S83" s="101" t="s">
        <v>520</v>
      </c>
      <c r="T83" s="102" t="str">
        <f t="shared" ref="T83:T84" si="139">IF(OR(U83="Preventivo",U83="Detectivo"),"Probabilidad",IF(U83="Correctivo","Impacto",""))</f>
        <v>Probabilidad</v>
      </c>
      <c r="U83" s="103" t="s">
        <v>14</v>
      </c>
      <c r="V83" s="103" t="s">
        <v>9</v>
      </c>
      <c r="W83" s="104" t="str">
        <f t="shared" ref="W83:W84" si="140">IF(AND(U83="Preventivo",V83="Automático"),"50%",IF(AND(U83="Preventivo",V83="Manual"),"40%",IF(AND(U83="Detectivo",V83="Automático"),"40%",IF(AND(U83="Detectivo",V83="Manual"),"30%",IF(AND(U83="Correctivo",V83="Automático"),"35%",IF(AND(U83="Correctivo",V83="Manual"),"25%",""))))))</f>
        <v>40%</v>
      </c>
      <c r="X83" s="103" t="s">
        <v>19</v>
      </c>
      <c r="Y83" s="103" t="s">
        <v>22</v>
      </c>
      <c r="Z83" s="103" t="s">
        <v>113</v>
      </c>
      <c r="AA83" s="105">
        <f t="shared" ref="AA83:AA84" si="141">IFERROR(IF(T83="Probabilidad",(L83-(+L83*W83)),IF(T83="Impacto",L83,"")),"")</f>
        <v>0</v>
      </c>
      <c r="AB83" s="106" t="str">
        <f t="shared" ref="AB83:AB84" si="142">IFERROR(IF(AA83="","",IF(AA83&lt;=0.2,"Muy Baja",IF(AA83&lt;=0.4,"Baja",IF(AA83&lt;=0.6,"Media",IF(AA83&lt;=0.8,"Alta","Muy Alta"))))),"")</f>
        <v>Muy Baja</v>
      </c>
      <c r="AC83" s="107">
        <f t="shared" ref="AC83:AC84" si="143">+AA83</f>
        <v>0</v>
      </c>
      <c r="AD83" s="106" t="str">
        <f t="shared" ref="AD83:AD84" si="144">IFERROR(IF(AE83="","",IF(AE83&lt;=0.2,"Leve",IF(AE83&lt;=0.4,"Menor",IF(AE83&lt;=0.6,"Moderado",IF(AE83&lt;=0.8,"Mayor","Catastrófico"))))),"")</f>
        <v>Leve</v>
      </c>
      <c r="AE83" s="107">
        <f t="shared" ref="AE83:AE84" si="145">IFERROR(IF(T83="Impacto",(P83-(+P83*W83)),IF(T83="Probabilidad",P83,"")),"")</f>
        <v>0</v>
      </c>
      <c r="AF83" s="108" t="str">
        <f t="shared" ref="AF83:AF84" si="146">IFERROR(IF(OR(AND(AB83="Muy Baja",AD83="Leve"),AND(AB83="Muy Baja",AD83="Menor"),AND(AB83="Baja",AD83="Leve")),"Bajo",IF(OR(AND(AB83="Muy baja",AD83="Moderado"),AND(AB83="Baja",AD83="Menor"),AND(AB83="Baja",AD83="Moderado"),AND(AB83="Media",AD83="Leve"),AND(AB83="Media",AD83="Menor"),AND(AB83="Media",AD83="Moderado"),AND(AB83="Alta",AD83="Leve"),AND(AB83="Alta",AD83="Menor")),"Moderado",IF(OR(AND(AB83="Muy Baja",AD83="Mayor"),AND(AB83="Baja",AD83="Mayor"),AND(AB83="Media",AD83="Mayor"),AND(AB83="Alta",AD83="Moderado"),AND(AB83="Alta",AD83="Mayor"),AND(AB83="Muy Alta",AD83="Leve"),AND(AB83="Muy Alta",AD83="Menor"),AND(AB83="Muy Alta",AD83="Moderado"),AND(AB83="Muy Alta",AD83="Mayor")),"Alto",IF(OR(AND(AB83="Muy Baja",AD83="Catastrófico"),AND(AB83="Baja",AD83="Catastrófico"),AND(AB83="Media",AD83="Catastrófico"),AND(AB83="Alta",AD83="Catastrófico"),AND(AB83="Muy Alta",AD83="Catastrófico")),"Extremo","")))),"")</f>
        <v>Bajo</v>
      </c>
      <c r="AG83" s="109"/>
      <c r="AH83" s="148"/>
      <c r="AI83" s="111"/>
      <c r="AJ83" s="112"/>
      <c r="AK83" s="112"/>
      <c r="AL83" s="148"/>
      <c r="AM83" s="111"/>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row>
    <row r="84" spans="1:71" ht="151.5" customHeight="1" x14ac:dyDescent="0.25">
      <c r="A84" s="212"/>
      <c r="B84" s="215"/>
      <c r="C84" s="227"/>
      <c r="D84" s="227"/>
      <c r="E84" s="218"/>
      <c r="F84" s="218"/>
      <c r="G84" s="218"/>
      <c r="H84" s="220"/>
      <c r="I84" s="218"/>
      <c r="J84" s="222"/>
      <c r="K84" s="203"/>
      <c r="L84" s="206"/>
      <c r="M84" s="208"/>
      <c r="N84" s="150"/>
      <c r="O84" s="203"/>
      <c r="P84" s="206"/>
      <c r="Q84" s="211"/>
      <c r="R84" s="100">
        <v>3</v>
      </c>
      <c r="S84" s="101" t="s">
        <v>476</v>
      </c>
      <c r="T84" s="102" t="str">
        <f t="shared" si="139"/>
        <v>Probabilidad</v>
      </c>
      <c r="U84" s="103" t="s">
        <v>15</v>
      </c>
      <c r="V84" s="103" t="s">
        <v>9</v>
      </c>
      <c r="W84" s="104" t="str">
        <f t="shared" si="140"/>
        <v>30%</v>
      </c>
      <c r="X84" s="103" t="s">
        <v>20</v>
      </c>
      <c r="Y84" s="103" t="s">
        <v>23</v>
      </c>
      <c r="Z84" s="103" t="s">
        <v>114</v>
      </c>
      <c r="AA84" s="105">
        <f t="shared" si="141"/>
        <v>0</v>
      </c>
      <c r="AB84" s="106" t="str">
        <f t="shared" si="142"/>
        <v>Muy Baja</v>
      </c>
      <c r="AC84" s="107">
        <f t="shared" si="143"/>
        <v>0</v>
      </c>
      <c r="AD84" s="106" t="str">
        <f t="shared" si="144"/>
        <v>Leve</v>
      </c>
      <c r="AE84" s="107">
        <f t="shared" si="145"/>
        <v>0</v>
      </c>
      <c r="AF84" s="108" t="str">
        <f t="shared" si="146"/>
        <v>Bajo</v>
      </c>
      <c r="AG84" s="109"/>
      <c r="AH84" s="148"/>
      <c r="AI84" s="111"/>
      <c r="AJ84" s="112"/>
      <c r="AK84" s="112"/>
      <c r="AL84" s="148"/>
      <c r="AM84" s="111"/>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row>
    <row r="85" spans="1:71" ht="151.5" customHeight="1" x14ac:dyDescent="0.25">
      <c r="A85" s="212">
        <v>27</v>
      </c>
      <c r="B85" s="213" t="s">
        <v>386</v>
      </c>
      <c r="C85" s="223" t="s">
        <v>385</v>
      </c>
      <c r="D85" s="223" t="s">
        <v>387</v>
      </c>
      <c r="E85" s="217" t="s">
        <v>125</v>
      </c>
      <c r="F85" s="217" t="s">
        <v>388</v>
      </c>
      <c r="G85" s="217" t="s">
        <v>389</v>
      </c>
      <c r="H85" s="219" t="s">
        <v>390</v>
      </c>
      <c r="I85" s="217" t="s">
        <v>119</v>
      </c>
      <c r="J85" s="221">
        <v>355</v>
      </c>
      <c r="K85" s="201" t="str">
        <f>IF(J85&lt;=0,"",IF(J85&lt;=2,"Muy Baja",IF(J85&lt;=24,"Baja",IF(J85&lt;=500,"Media",IF(J85&lt;=5000,"Alta","Muy Alta")))))</f>
        <v>Media</v>
      </c>
      <c r="L85" s="204">
        <f>IF(K85="","",IF(K85="Muy Baja",0.2,IF(K85="Baja",0.4,IF(K85="Media",0.6,IF(K85="Alta",0.8,IF(K85="Muy Alta",1,))))))</f>
        <v>0.6</v>
      </c>
      <c r="M85" s="207" t="s">
        <v>147</v>
      </c>
      <c r="N85" s="149" t="str">
        <f>IF(NOT(ISERROR(MATCH(M85,'Tabla Impacto'!$B$221:$B$223,0))),'Tabla Impacto'!$F$223&amp;"Por favor no seleccionar los criterios de impacto(Afectación Económica o presupuestal y Pérdida Reputacional)",M85)</f>
        <v xml:space="preserve">     El riesgo afecta la imagen de de la entidad con efecto publicitario sostenido a nivel de sector administrativo, nivel departamental o municipal</v>
      </c>
      <c r="O85" s="201" t="str">
        <f>IF(OR(N85='Tabla Impacto'!$C$11,N85='Tabla Impacto'!$D$11),"Leve",IF(OR(N85='Tabla Impacto'!$C$12,N85='Tabla Impacto'!$D$12),"Menor",IF(OR(N85='Tabla Impacto'!$C$13,N85='Tabla Impacto'!$D$13),"Moderado",IF(OR(N85='Tabla Impacto'!$C$14,N85='Tabla Impacto'!$D$14),"Mayor",IF(OR(N85='Tabla Impacto'!$C$15,N85='Tabla Impacto'!$D$15),"Catastrófico","")))))</f>
        <v>Mayor</v>
      </c>
      <c r="P85" s="204">
        <f>IF(O85="","",IF(O85="Leve",0.2,IF(O85="Menor",0.4,IF(O85="Moderado",0.6,IF(O85="Mayor",0.8,IF(O85="Catastrófico",1,))))))</f>
        <v>0.8</v>
      </c>
      <c r="Q85" s="209" t="str">
        <f>IF(OR(AND(K85="Muy Baja",O85="Leve"),AND(K85="Muy Baja",O85="Menor"),AND(K85="Baja",O85="Leve")),"Bajo",IF(OR(AND(K85="Muy baja",O85="Moderado"),AND(K85="Baja",O85="Menor"),AND(K85="Baja",O85="Moderado"),AND(K85="Media",O85="Leve"),AND(K85="Media",O85="Menor"),AND(K85="Media",O85="Moderado"),AND(K85="Alta",O85="Leve"),AND(K85="Alta",O85="Menor")),"Moderado",IF(OR(AND(K85="Muy Baja",O85="Mayor"),AND(K85="Baja",O85="Mayor"),AND(K85="Media",O85="Mayor"),AND(K85="Alta",O85="Moderado"),AND(K85="Alta",O85="Mayor"),AND(K85="Muy Alta",O85="Leve"),AND(K85="Muy Alta",O85="Menor"),AND(K85="Muy Alta",O85="Moderado"),AND(K85="Muy Alta",O85="Mayor")),"Alto",IF(OR(AND(K85="Muy Baja",O85="Catastrófico"),AND(K85="Baja",O85="Catastrófico"),AND(K85="Media",O85="Catastrófico"),AND(K85="Alta",O85="Catastrófico"),AND(K85="Muy Alta",O85="Catastrófico")),"Extremo",""))))</f>
        <v>Alto</v>
      </c>
      <c r="R85" s="100">
        <v>1</v>
      </c>
      <c r="S85" s="101" t="s">
        <v>391</v>
      </c>
      <c r="T85" s="102" t="str">
        <f t="shared" si="27"/>
        <v>Probabilidad</v>
      </c>
      <c r="U85" s="103" t="s">
        <v>14</v>
      </c>
      <c r="V85" s="103" t="s">
        <v>9</v>
      </c>
      <c r="W85" s="104" t="str">
        <f t="shared" si="28"/>
        <v>40%</v>
      </c>
      <c r="X85" s="103" t="s">
        <v>20</v>
      </c>
      <c r="Y85" s="103" t="s">
        <v>22</v>
      </c>
      <c r="Z85" s="103" t="s">
        <v>113</v>
      </c>
      <c r="AA85" s="105">
        <f t="shared" si="33"/>
        <v>0.36</v>
      </c>
      <c r="AB85" s="106" t="str">
        <f t="shared" si="29"/>
        <v>Baja</v>
      </c>
      <c r="AC85" s="107">
        <f t="shared" si="30"/>
        <v>0.36</v>
      </c>
      <c r="AD85" s="106" t="str">
        <f t="shared" si="31"/>
        <v>Mayor</v>
      </c>
      <c r="AE85" s="107">
        <f t="shared" si="34"/>
        <v>0.8</v>
      </c>
      <c r="AF85" s="108" t="str">
        <f t="shared" si="32"/>
        <v>Alto</v>
      </c>
      <c r="AG85" s="109" t="s">
        <v>129</v>
      </c>
      <c r="AH85" s="148" t="s">
        <v>392</v>
      </c>
      <c r="AI85" s="111" t="s">
        <v>315</v>
      </c>
      <c r="AJ85" s="112" t="s">
        <v>393</v>
      </c>
      <c r="AK85" s="112" t="s">
        <v>393</v>
      </c>
      <c r="AL85" s="144" t="s">
        <v>394</v>
      </c>
      <c r="AM85" s="111"/>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row>
    <row r="86" spans="1:71" ht="151.5" customHeight="1" x14ac:dyDescent="0.25">
      <c r="A86" s="212"/>
      <c r="B86" s="214"/>
      <c r="C86" s="224"/>
      <c r="D86" s="224"/>
      <c r="E86" s="218"/>
      <c r="F86" s="218"/>
      <c r="G86" s="218"/>
      <c r="H86" s="220"/>
      <c r="I86" s="218"/>
      <c r="J86" s="222"/>
      <c r="K86" s="202"/>
      <c r="L86" s="205"/>
      <c r="M86" s="208"/>
      <c r="N86" s="150"/>
      <c r="O86" s="202"/>
      <c r="P86" s="205"/>
      <c r="Q86" s="210"/>
      <c r="R86" s="100">
        <v>2</v>
      </c>
      <c r="S86" s="101"/>
      <c r="T86" s="102" t="str">
        <f t="shared" ref="T86:T87" si="147">IF(OR(U86="Preventivo",U86="Detectivo"),"Probabilidad",IF(U86="Correctivo","Impacto",""))</f>
        <v>Probabilidad</v>
      </c>
      <c r="U86" s="103" t="s">
        <v>15</v>
      </c>
      <c r="V86" s="103" t="s">
        <v>9</v>
      </c>
      <c r="W86" s="104" t="str">
        <f t="shared" ref="W86:W87" si="148">IF(AND(U86="Preventivo",V86="Automático"),"50%",IF(AND(U86="Preventivo",V86="Manual"),"40%",IF(AND(U86="Detectivo",V86="Automático"),"40%",IF(AND(U86="Detectivo",V86="Manual"),"30%",IF(AND(U86="Correctivo",V86="Automático"),"35%",IF(AND(U86="Correctivo",V86="Manual"),"25%",""))))))</f>
        <v>30%</v>
      </c>
      <c r="X86" s="103" t="s">
        <v>20</v>
      </c>
      <c r="Y86" s="103" t="s">
        <v>23</v>
      </c>
      <c r="Z86" s="103" t="s">
        <v>114</v>
      </c>
      <c r="AA86" s="105">
        <f t="shared" ref="AA86:AA88" si="149">IFERROR(IF(T86="Probabilidad",(L86-(+L86*W86)),IF(T86="Impacto",L86,"")),"")</f>
        <v>0</v>
      </c>
      <c r="AB86" s="106" t="str">
        <f t="shared" ref="AB86:AB87" si="150">IFERROR(IF(AA86="","",IF(AA86&lt;=0.2,"Muy Baja",IF(AA86&lt;=0.4,"Baja",IF(AA86&lt;=0.6,"Media",IF(AA86&lt;=0.8,"Alta","Muy Alta"))))),"")</f>
        <v>Muy Baja</v>
      </c>
      <c r="AC86" s="107">
        <f t="shared" ref="AC86:AC87" si="151">+AA86</f>
        <v>0</v>
      </c>
      <c r="AD86" s="106" t="str">
        <f t="shared" ref="AD86:AD87" si="152">IFERROR(IF(AE86="","",IF(AE86&lt;=0.2,"Leve",IF(AE86&lt;=0.4,"Menor",IF(AE86&lt;=0.6,"Moderado",IF(AE86&lt;=0.8,"Mayor","Catastrófico"))))),"")</f>
        <v>Leve</v>
      </c>
      <c r="AE86" s="107">
        <f t="shared" ref="AE86:AE87" si="153">IFERROR(IF(T86="Impacto",(P86-(+P86*W86)),IF(T86="Probabilidad",P86,"")),"")</f>
        <v>0</v>
      </c>
      <c r="AF86" s="108" t="str">
        <f t="shared" ref="AF86:AF87" si="154">IFERROR(IF(OR(AND(AB86="Muy Baja",AD86="Leve"),AND(AB86="Muy Baja",AD86="Menor"),AND(AB86="Baja",AD86="Leve")),"Bajo",IF(OR(AND(AB86="Muy baja",AD86="Moderado"),AND(AB86="Baja",AD86="Menor"),AND(AB86="Baja",AD86="Moderado"),AND(AB86="Media",AD86="Leve"),AND(AB86="Media",AD86="Menor"),AND(AB86="Media",AD86="Moderado"),AND(AB86="Alta",AD86="Leve"),AND(AB86="Alta",AD86="Menor")),"Moderado",IF(OR(AND(AB86="Muy Baja",AD86="Mayor"),AND(AB86="Baja",AD86="Mayor"),AND(AB86="Media",AD86="Mayor"),AND(AB86="Alta",AD86="Moderado"),AND(AB86="Alta",AD86="Mayor"),AND(AB86="Muy Alta",AD86="Leve"),AND(AB86="Muy Alta",AD86="Menor"),AND(AB86="Muy Alta",AD86="Moderado"),AND(AB86="Muy Alta",AD86="Mayor")),"Alto",IF(OR(AND(AB86="Muy Baja",AD86="Catastrófico"),AND(AB86="Baja",AD86="Catastrófico"),AND(AB86="Media",AD86="Catastrófico"),AND(AB86="Alta",AD86="Catastrófico"),AND(AB86="Muy Alta",AD86="Catastrófico")),"Extremo","")))),"")</f>
        <v>Bajo</v>
      </c>
      <c r="AG86" s="109"/>
      <c r="AH86" s="148"/>
      <c r="AI86" s="111"/>
      <c r="AJ86" s="112"/>
      <c r="AK86" s="112"/>
      <c r="AL86" s="148"/>
      <c r="AM86" s="111"/>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row>
    <row r="87" spans="1:71" ht="151.5" customHeight="1" x14ac:dyDescent="0.25">
      <c r="A87" s="212"/>
      <c r="B87" s="215"/>
      <c r="C87" s="230"/>
      <c r="D87" s="224"/>
      <c r="E87" s="218"/>
      <c r="F87" s="218"/>
      <c r="G87" s="218"/>
      <c r="H87" s="220"/>
      <c r="I87" s="218"/>
      <c r="J87" s="222"/>
      <c r="K87" s="203"/>
      <c r="L87" s="206"/>
      <c r="M87" s="208"/>
      <c r="N87" s="150"/>
      <c r="O87" s="203"/>
      <c r="P87" s="206"/>
      <c r="Q87" s="211"/>
      <c r="R87" s="100">
        <v>3</v>
      </c>
      <c r="S87" s="101"/>
      <c r="T87" s="102" t="str">
        <f t="shared" si="147"/>
        <v>Probabilidad</v>
      </c>
      <c r="U87" s="103" t="s">
        <v>15</v>
      </c>
      <c r="V87" s="103" t="s">
        <v>9</v>
      </c>
      <c r="W87" s="104" t="str">
        <f t="shared" si="148"/>
        <v>30%</v>
      </c>
      <c r="X87" s="103" t="s">
        <v>20</v>
      </c>
      <c r="Y87" s="103" t="s">
        <v>23</v>
      </c>
      <c r="Z87" s="103" t="s">
        <v>114</v>
      </c>
      <c r="AA87" s="105">
        <f t="shared" si="149"/>
        <v>0</v>
      </c>
      <c r="AB87" s="106" t="str">
        <f t="shared" si="150"/>
        <v>Muy Baja</v>
      </c>
      <c r="AC87" s="107">
        <f t="shared" si="151"/>
        <v>0</v>
      </c>
      <c r="AD87" s="106" t="str">
        <f t="shared" si="152"/>
        <v>Leve</v>
      </c>
      <c r="AE87" s="107">
        <f t="shared" si="153"/>
        <v>0</v>
      </c>
      <c r="AF87" s="108" t="str">
        <f t="shared" si="154"/>
        <v>Bajo</v>
      </c>
      <c r="AG87" s="109"/>
      <c r="AH87" s="148"/>
      <c r="AI87" s="111"/>
      <c r="AJ87" s="112"/>
      <c r="AK87" s="112"/>
      <c r="AL87" s="148"/>
      <c r="AM87" s="111"/>
      <c r="AN87" s="23"/>
      <c r="AO87" s="23"/>
      <c r="AP87" s="23"/>
      <c r="AQ87" s="23"/>
      <c r="AR87" s="23"/>
      <c r="AS87" s="23"/>
      <c r="AT87" s="23"/>
      <c r="AU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23"/>
      <c r="BS87" s="23"/>
    </row>
    <row r="88" spans="1:71" ht="151.5" customHeight="1" x14ac:dyDescent="0.25">
      <c r="A88" s="212">
        <v>28</v>
      </c>
      <c r="B88" s="213" t="s">
        <v>386</v>
      </c>
      <c r="C88" s="223" t="s">
        <v>385</v>
      </c>
      <c r="D88" s="223" t="s">
        <v>387</v>
      </c>
      <c r="E88" s="217" t="s">
        <v>125</v>
      </c>
      <c r="F88" s="217" t="s">
        <v>395</v>
      </c>
      <c r="G88" s="217" t="s">
        <v>396</v>
      </c>
      <c r="H88" s="219" t="s">
        <v>521</v>
      </c>
      <c r="I88" s="217" t="s">
        <v>462</v>
      </c>
      <c r="J88" s="221">
        <v>355</v>
      </c>
      <c r="K88" s="201" t="str">
        <f>IF(J88&lt;=0,"",IF(J88&lt;=2,"Muy Baja",IF(J88&lt;=24,"Baja",IF(J88&lt;=500,"Media",IF(J88&lt;=5000,"Alta","Muy Alta")))))</f>
        <v>Media</v>
      </c>
      <c r="L88" s="204">
        <f>IF(K88="","",IF(K88="Muy Baja",0.2,IF(K88="Baja",0.4,IF(K88="Media",0.6,IF(K88="Alta",0.8,IF(K88="Muy Alta",1,))))))</f>
        <v>0.6</v>
      </c>
      <c r="M88" s="207" t="s">
        <v>147</v>
      </c>
      <c r="N88" s="149" t="str">
        <f>IF(NOT(ISERROR(MATCH(M88,'Tabla Impacto'!$B$221:$B$223,0))),'Tabla Impacto'!$F$223&amp;"Por favor no seleccionar los criterios de impacto(Afectación Económica o presupuestal y Pérdida Reputacional)",M88)</f>
        <v xml:space="preserve">     El riesgo afecta la imagen de de la entidad con efecto publicitario sostenido a nivel de sector administrativo, nivel departamental o municipal</v>
      </c>
      <c r="O88" s="201" t="str">
        <f>IF(OR(N88='Tabla Impacto'!$C$11,N88='Tabla Impacto'!$D$11),"Leve",IF(OR(N88='Tabla Impacto'!$C$12,N88='Tabla Impacto'!$D$12),"Menor",IF(OR(N88='Tabla Impacto'!$C$13,N88='Tabla Impacto'!$D$13),"Moderado",IF(OR(N88='Tabla Impacto'!$C$14,N88='Tabla Impacto'!$D$14),"Mayor",IF(OR(N88='Tabla Impacto'!$C$15,N88='Tabla Impacto'!$D$15),"Catastrófico","")))))</f>
        <v>Mayor</v>
      </c>
      <c r="P88" s="204">
        <f>IF(O88="","",IF(O88="Leve",0.2,IF(O88="Menor",0.4,IF(O88="Moderado",0.6,IF(O88="Mayor",0.8,IF(O88="Catastrófico",1,))))))</f>
        <v>0.8</v>
      </c>
      <c r="Q88" s="209" t="str">
        <f>IF(OR(AND(K88="Muy Baja",O88="Leve"),AND(K88="Muy Baja",O88="Menor"),AND(K88="Baja",O88="Leve")),"Bajo",IF(OR(AND(K88="Muy baja",O88="Moderado"),AND(K88="Baja",O88="Menor"),AND(K88="Baja",O88="Moderado"),AND(K88="Media",O88="Leve"),AND(K88="Media",O88="Menor"),AND(K88="Media",O88="Moderado"),AND(K88="Alta",O88="Leve"),AND(K88="Alta",O88="Menor")),"Moderado",IF(OR(AND(K88="Muy Baja",O88="Mayor"),AND(K88="Baja",O88="Mayor"),AND(K88="Media",O88="Mayor"),AND(K88="Alta",O88="Moderado"),AND(K88="Alta",O88="Mayor"),AND(K88="Muy Alta",O88="Leve"),AND(K88="Muy Alta",O88="Menor"),AND(K88="Muy Alta",O88="Moderado"),AND(K88="Muy Alta",O88="Mayor")),"Alto",IF(OR(AND(K88="Muy Baja",O88="Catastrófico"),AND(K88="Baja",O88="Catastrófico"),AND(K88="Media",O88="Catastrófico"),AND(K88="Alta",O88="Catastrófico"),AND(K88="Muy Alta",O88="Catastrófico")),"Extremo",""))))</f>
        <v>Alto</v>
      </c>
      <c r="R88" s="100">
        <v>1</v>
      </c>
      <c r="S88" s="101" t="s">
        <v>522</v>
      </c>
      <c r="T88" s="102" t="str">
        <f t="shared" si="27"/>
        <v>Probabilidad</v>
      </c>
      <c r="U88" s="103" t="s">
        <v>14</v>
      </c>
      <c r="V88" s="103" t="s">
        <v>9</v>
      </c>
      <c r="W88" s="104" t="str">
        <f t="shared" si="28"/>
        <v>40%</v>
      </c>
      <c r="X88" s="103" t="s">
        <v>19</v>
      </c>
      <c r="Y88" s="103" t="s">
        <v>22</v>
      </c>
      <c r="Z88" s="103" t="s">
        <v>113</v>
      </c>
      <c r="AA88" s="145">
        <f t="shared" si="149"/>
        <v>0.36</v>
      </c>
      <c r="AB88" s="106" t="str">
        <f t="shared" si="29"/>
        <v>Baja</v>
      </c>
      <c r="AC88" s="107">
        <f t="shared" si="30"/>
        <v>0.36</v>
      </c>
      <c r="AD88" s="106" t="str">
        <f t="shared" si="31"/>
        <v>Mayor</v>
      </c>
      <c r="AE88" s="107">
        <f t="shared" si="34"/>
        <v>0.8</v>
      </c>
      <c r="AF88" s="108" t="str">
        <f t="shared" si="32"/>
        <v>Alto</v>
      </c>
      <c r="AG88" s="109" t="s">
        <v>129</v>
      </c>
      <c r="AH88" s="148" t="s">
        <v>397</v>
      </c>
      <c r="AI88" s="142" t="s">
        <v>315</v>
      </c>
      <c r="AJ88" s="143" t="s">
        <v>393</v>
      </c>
      <c r="AK88" s="143" t="s">
        <v>393</v>
      </c>
      <c r="AL88" s="144" t="s">
        <v>398</v>
      </c>
      <c r="AM88" s="111"/>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row>
    <row r="89" spans="1:71" ht="151.5" customHeight="1" x14ac:dyDescent="0.25">
      <c r="A89" s="212"/>
      <c r="B89" s="214"/>
      <c r="C89" s="224"/>
      <c r="D89" s="224"/>
      <c r="E89" s="218"/>
      <c r="F89" s="218"/>
      <c r="G89" s="218"/>
      <c r="H89" s="220"/>
      <c r="I89" s="218"/>
      <c r="J89" s="222"/>
      <c r="K89" s="202"/>
      <c r="L89" s="205"/>
      <c r="M89" s="208"/>
      <c r="N89" s="150"/>
      <c r="O89" s="202"/>
      <c r="P89" s="205"/>
      <c r="Q89" s="210"/>
      <c r="R89" s="100">
        <v>2</v>
      </c>
      <c r="S89" s="101" t="s">
        <v>523</v>
      </c>
      <c r="T89" s="102" t="str">
        <f t="shared" ref="T89:T90" si="155">IF(OR(U89="Preventivo",U89="Detectivo"),"Probabilidad",IF(U89="Correctivo","Impacto",""))</f>
        <v/>
      </c>
      <c r="U89" s="103" t="s">
        <v>477</v>
      </c>
      <c r="V89" s="103" t="s">
        <v>9</v>
      </c>
      <c r="W89" s="104" t="str">
        <f t="shared" ref="W89:W90" si="156">IF(AND(U89="Preventivo",V89="Automático"),"50%",IF(AND(U89="Preventivo",V89="Manual"),"40%",IF(AND(U89="Detectivo",V89="Automático"),"40%",IF(AND(U89="Detectivo",V89="Manual"),"30%",IF(AND(U89="Correctivo",V89="Automático"),"35%",IF(AND(U89="Correctivo",V89="Manual"),"25%",""))))))</f>
        <v/>
      </c>
      <c r="X89" s="103" t="s">
        <v>20</v>
      </c>
      <c r="Y89" s="103" t="s">
        <v>22</v>
      </c>
      <c r="Z89" s="103" t="s">
        <v>113</v>
      </c>
      <c r="AA89" s="105" t="str">
        <f t="shared" ref="AA89:AA90" si="157">IFERROR(IF(T89="Probabilidad",(L89-(+L89*W89)),IF(T89="Impacto",L89,"")),"")</f>
        <v/>
      </c>
      <c r="AB89" s="106" t="str">
        <f t="shared" ref="AB89:AB90" si="158">IFERROR(IF(AA89="","",IF(AA89&lt;=0.2,"Muy Baja",IF(AA89&lt;=0.4,"Baja",IF(AA89&lt;=0.6,"Media",IF(AA89&lt;=0.8,"Alta","Muy Alta"))))),"")</f>
        <v/>
      </c>
      <c r="AC89" s="107" t="str">
        <f t="shared" ref="AC89:AC90" si="159">+AA89</f>
        <v/>
      </c>
      <c r="AD89" s="106" t="str">
        <f t="shared" ref="AD89:AD90" si="160">IFERROR(IF(AE89="","",IF(AE89&lt;=0.2,"Leve",IF(AE89&lt;=0.4,"Menor",IF(AE89&lt;=0.6,"Moderado",IF(AE89&lt;=0.8,"Mayor","Catastrófico"))))),"")</f>
        <v/>
      </c>
      <c r="AE89" s="107" t="str">
        <f t="shared" ref="AE89:AE90" si="161">IFERROR(IF(T89="Impacto",(P89-(+P89*W89)),IF(T89="Probabilidad",P89,"")),"")</f>
        <v/>
      </c>
      <c r="AF89" s="108" t="str">
        <f t="shared" ref="AF89:AF90" si="162">IFERROR(IF(OR(AND(AB89="Muy Baja",AD89="Leve"),AND(AB89="Muy Baja",AD89="Menor"),AND(AB89="Baja",AD89="Leve")),"Bajo",IF(OR(AND(AB89="Muy baja",AD89="Moderado"),AND(AB89="Baja",AD89="Menor"),AND(AB89="Baja",AD89="Moderado"),AND(AB89="Media",AD89="Leve"),AND(AB89="Media",AD89="Menor"),AND(AB89="Media",AD89="Moderado"),AND(AB89="Alta",AD89="Leve"),AND(AB89="Alta",AD89="Menor")),"Moderado",IF(OR(AND(AB89="Muy Baja",AD89="Mayor"),AND(AB89="Baja",AD89="Mayor"),AND(AB89="Media",AD89="Mayor"),AND(AB89="Alta",AD89="Moderado"),AND(AB89="Alta",AD89="Mayor"),AND(AB89="Muy Alta",AD89="Leve"),AND(AB89="Muy Alta",AD89="Menor"),AND(AB89="Muy Alta",AD89="Moderado"),AND(AB89="Muy Alta",AD89="Mayor")),"Alto",IF(OR(AND(AB89="Muy Baja",AD89="Catastrófico"),AND(AB89="Baja",AD89="Catastrófico"),AND(AB89="Media",AD89="Catastrófico"),AND(AB89="Alta",AD89="Catastrófico"),AND(AB89="Muy Alta",AD89="Catastrófico")),"Extremo","")))),"")</f>
        <v/>
      </c>
      <c r="AG89" s="109" t="s">
        <v>129</v>
      </c>
      <c r="AH89" s="148"/>
      <c r="AI89" s="111"/>
      <c r="AJ89" s="112"/>
      <c r="AK89" s="112"/>
      <c r="AL89" s="148"/>
      <c r="AM89" s="111"/>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row>
    <row r="90" spans="1:71" ht="151.5" customHeight="1" x14ac:dyDescent="0.25">
      <c r="A90" s="212"/>
      <c r="B90" s="215"/>
      <c r="C90" s="230"/>
      <c r="D90" s="224"/>
      <c r="E90" s="218"/>
      <c r="F90" s="218"/>
      <c r="G90" s="218"/>
      <c r="H90" s="220"/>
      <c r="I90" s="218"/>
      <c r="J90" s="222"/>
      <c r="K90" s="203"/>
      <c r="L90" s="206"/>
      <c r="M90" s="208"/>
      <c r="N90" s="150"/>
      <c r="O90" s="203"/>
      <c r="P90" s="206"/>
      <c r="Q90" s="211"/>
      <c r="R90" s="100">
        <v>3</v>
      </c>
      <c r="S90" s="101"/>
      <c r="T90" s="102" t="str">
        <f t="shared" si="155"/>
        <v>Probabilidad</v>
      </c>
      <c r="U90" s="103" t="s">
        <v>15</v>
      </c>
      <c r="V90" s="103" t="s">
        <v>9</v>
      </c>
      <c r="W90" s="104" t="str">
        <f t="shared" si="156"/>
        <v>30%</v>
      </c>
      <c r="X90" s="103" t="s">
        <v>20</v>
      </c>
      <c r="Y90" s="103" t="s">
        <v>23</v>
      </c>
      <c r="Z90" s="103" t="s">
        <v>114</v>
      </c>
      <c r="AA90" s="105">
        <f t="shared" si="157"/>
        <v>0</v>
      </c>
      <c r="AB90" s="106" t="str">
        <f t="shared" si="158"/>
        <v>Muy Baja</v>
      </c>
      <c r="AC90" s="107">
        <f t="shared" si="159"/>
        <v>0</v>
      </c>
      <c r="AD90" s="106" t="str">
        <f t="shared" si="160"/>
        <v>Leve</v>
      </c>
      <c r="AE90" s="107">
        <f t="shared" si="161"/>
        <v>0</v>
      </c>
      <c r="AF90" s="108" t="str">
        <f t="shared" si="162"/>
        <v>Bajo</v>
      </c>
      <c r="AG90" s="109"/>
      <c r="AH90" s="148"/>
      <c r="AI90" s="111"/>
      <c r="AJ90" s="112"/>
      <c r="AK90" s="112"/>
      <c r="AL90" s="148"/>
      <c r="AM90" s="111"/>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row>
    <row r="91" spans="1:71" ht="151.5" customHeight="1" x14ac:dyDescent="0.25">
      <c r="A91" s="212">
        <v>29</v>
      </c>
      <c r="B91" s="213" t="s">
        <v>399</v>
      </c>
      <c r="C91" s="223" t="s">
        <v>549</v>
      </c>
      <c r="D91" s="223" t="s">
        <v>400</v>
      </c>
      <c r="E91" s="217" t="s">
        <v>127</v>
      </c>
      <c r="F91" s="225" t="s">
        <v>401</v>
      </c>
      <c r="G91" s="225" t="s">
        <v>402</v>
      </c>
      <c r="H91" s="219" t="s">
        <v>403</v>
      </c>
      <c r="I91" s="217" t="s">
        <v>462</v>
      </c>
      <c r="J91" s="221">
        <v>850</v>
      </c>
      <c r="K91" s="201" t="str">
        <f>IF(J91&lt;=0,"",IF(J91&lt;=2,"Muy Baja",IF(J91&lt;=24,"Baja",IF(J91&lt;=500,"Media",IF(J91&lt;=5000,"Alta","Muy Alta")))))</f>
        <v>Alta</v>
      </c>
      <c r="L91" s="204">
        <f>IF(K91="","",IF(K91="Muy Baja",0.2,IF(K91="Baja",0.4,IF(K91="Media",0.6,IF(K91="Alta",0.8,IF(K91="Muy Alta",1,))))))</f>
        <v>0.8</v>
      </c>
      <c r="M91" s="207" t="s">
        <v>147</v>
      </c>
      <c r="N91" s="149" t="str">
        <f>IF(NOT(ISERROR(MATCH(M91,'Tabla Impacto'!$B$221:$B$223,0))),'Tabla Impacto'!$F$223&amp;"Por favor no seleccionar los criterios de impacto(Afectación Económica o presupuestal y Pérdida Reputacional)",M91)</f>
        <v xml:space="preserve">     El riesgo afecta la imagen de de la entidad con efecto publicitario sostenido a nivel de sector administrativo, nivel departamental o municipal</v>
      </c>
      <c r="O91" s="201" t="str">
        <f>IF(OR(N91='Tabla Impacto'!$C$11,N91='Tabla Impacto'!$D$11),"Leve",IF(OR(N91='Tabla Impacto'!$C$12,N91='Tabla Impacto'!$D$12),"Menor",IF(OR(N91='Tabla Impacto'!$C$13,N91='Tabla Impacto'!$D$13),"Moderado",IF(OR(N91='Tabla Impacto'!$C$14,N91='Tabla Impacto'!$D$14),"Mayor",IF(OR(N91='Tabla Impacto'!$C$15,N91='Tabla Impacto'!$D$15),"Catastrófico","")))))</f>
        <v>Mayor</v>
      </c>
      <c r="P91" s="204">
        <f>IF(O91="","",IF(O91="Leve",0.2,IF(O91="Menor",0.4,IF(O91="Moderado",0.6,IF(O91="Mayor",0.8,IF(O91="Catastrófico",1,))))))</f>
        <v>0.8</v>
      </c>
      <c r="Q91" s="209" t="str">
        <f>IF(OR(AND(K91="Muy Baja",O91="Leve"),AND(K91="Muy Baja",O91="Menor"),AND(K91="Baja",O91="Leve")),"Bajo",IF(OR(AND(K91="Muy baja",O91="Moderado"),AND(K91="Baja",O91="Menor"),AND(K91="Baja",O91="Moderado"),AND(K91="Media",O91="Leve"),AND(K91="Media",O91="Menor"),AND(K91="Media",O91="Moderado"),AND(K91="Alta",O91="Leve"),AND(K91="Alta",O91="Menor")),"Moderado",IF(OR(AND(K91="Muy Baja",O91="Mayor"),AND(K91="Baja",O91="Mayor"),AND(K91="Media",O91="Mayor"),AND(K91="Alta",O91="Moderado"),AND(K91="Alta",O91="Mayor"),AND(K91="Muy Alta",O91="Leve"),AND(K91="Muy Alta",O91="Menor"),AND(K91="Muy Alta",O91="Moderado"),AND(K91="Muy Alta",O91="Mayor")),"Alto",IF(OR(AND(K91="Muy Baja",O91="Catastrófico"),AND(K91="Baja",O91="Catastrófico"),AND(K91="Media",O91="Catastrófico"),AND(K91="Alta",O91="Catastrófico"),AND(K91="Muy Alta",O91="Catastrófico")),"Extremo",""))))</f>
        <v>Alto</v>
      </c>
      <c r="R91" s="100">
        <v>1</v>
      </c>
      <c r="S91" s="101" t="s">
        <v>404</v>
      </c>
      <c r="T91" s="102" t="str">
        <f t="shared" ref="T91:T93" si="163">IF(OR(U91="Preventivo",U91="Detectivo"),"Probabilidad",IF(U91="Correctivo","Impacto",""))</f>
        <v>Probabilidad</v>
      </c>
      <c r="U91" s="103" t="s">
        <v>14</v>
      </c>
      <c r="V91" s="103" t="s">
        <v>9</v>
      </c>
      <c r="W91" s="104" t="str">
        <f t="shared" ref="W91:W93" si="164">IF(AND(U91="Preventivo",V91="Automático"),"50%",IF(AND(U91="Preventivo",V91="Manual"),"40%",IF(AND(U91="Detectivo",V91="Automático"),"40%",IF(AND(U91="Detectivo",V91="Manual"),"30%",IF(AND(U91="Correctivo",V91="Automático"),"35%",IF(AND(U91="Correctivo",V91="Manual"),"25%",""))))))</f>
        <v>40%</v>
      </c>
      <c r="X91" s="103" t="s">
        <v>20</v>
      </c>
      <c r="Y91" s="103" t="s">
        <v>22</v>
      </c>
      <c r="Z91" s="103" t="s">
        <v>113</v>
      </c>
      <c r="AA91" s="105">
        <f t="shared" ref="AA91:AA93" si="165">IFERROR(IF(T91="Probabilidad",(L91-(+L91*W91)),IF(T91="Impacto",L91,"")),"")</f>
        <v>0.48</v>
      </c>
      <c r="AB91" s="106" t="str">
        <f t="shared" ref="AB91:AB93" si="166">IFERROR(IF(AA91="","",IF(AA91&lt;=0.2,"Muy Baja",IF(AA91&lt;=0.4,"Baja",IF(AA91&lt;=0.6,"Media",IF(AA91&lt;=0.8,"Alta","Muy Alta"))))),"")</f>
        <v>Media</v>
      </c>
      <c r="AC91" s="107">
        <f t="shared" ref="AC91:AC93" si="167">+AA91</f>
        <v>0.48</v>
      </c>
      <c r="AD91" s="106" t="str">
        <f t="shared" ref="AD91:AD93" si="168">IFERROR(IF(AE91="","",IF(AE91&lt;=0.2,"Leve",IF(AE91&lt;=0.4,"Menor",IF(AE91&lt;=0.6,"Moderado",IF(AE91&lt;=0.8,"Mayor","Catastrófico"))))),"")</f>
        <v>Mayor</v>
      </c>
      <c r="AE91" s="107">
        <f t="shared" ref="AE91:AE93" si="169">IFERROR(IF(T91="Impacto",(P91-(+P91*W91)),IF(T91="Probabilidad",P91,"")),"")</f>
        <v>0.8</v>
      </c>
      <c r="AF91" s="108" t="str">
        <f t="shared" ref="AF91:AF93" si="170">IFERROR(IF(OR(AND(AB91="Muy Baja",AD91="Leve"),AND(AB91="Muy Baja",AD91="Menor"),AND(AB91="Baja",AD91="Leve")),"Bajo",IF(OR(AND(AB91="Muy baja",AD91="Moderado"),AND(AB91="Baja",AD91="Menor"),AND(AB91="Baja",AD91="Moderado"),AND(AB91="Media",AD91="Leve"),AND(AB91="Media",AD91="Menor"),AND(AB91="Media",AD91="Moderado"),AND(AB91="Alta",AD91="Leve"),AND(AB91="Alta",AD91="Menor")),"Moderado",IF(OR(AND(AB91="Muy Baja",AD91="Mayor"),AND(AB91="Baja",AD91="Mayor"),AND(AB91="Media",AD91="Mayor"),AND(AB91="Alta",AD91="Moderado"),AND(AB91="Alta",AD91="Mayor"),AND(AB91="Muy Alta",AD91="Leve"),AND(AB91="Muy Alta",AD91="Menor"),AND(AB91="Muy Alta",AD91="Moderado"),AND(AB91="Muy Alta",AD91="Mayor")),"Alto",IF(OR(AND(AB91="Muy Baja",AD91="Catastrófico"),AND(AB91="Baja",AD91="Catastrófico"),AND(AB91="Media",AD91="Catastrófico"),AND(AB91="Alta",AD91="Catastrófico"),AND(AB91="Muy Alta",AD91="Catastrófico")),"Extremo","")))),"")</f>
        <v>Alto</v>
      </c>
      <c r="AG91" s="109" t="s">
        <v>129</v>
      </c>
      <c r="AH91" s="153" t="s">
        <v>406</v>
      </c>
      <c r="AI91" s="111" t="s">
        <v>224</v>
      </c>
      <c r="AJ91" s="112">
        <v>44378</v>
      </c>
      <c r="AK91" s="112">
        <v>44561</v>
      </c>
      <c r="AL91" s="148" t="s">
        <v>407</v>
      </c>
      <c r="AM91" s="111"/>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3"/>
      <c r="BS91" s="23"/>
    </row>
    <row r="92" spans="1:71" ht="151.5" customHeight="1" x14ac:dyDescent="0.25">
      <c r="A92" s="212"/>
      <c r="B92" s="214"/>
      <c r="C92" s="224"/>
      <c r="D92" s="224"/>
      <c r="E92" s="218"/>
      <c r="F92" s="218"/>
      <c r="G92" s="218"/>
      <c r="H92" s="220"/>
      <c r="I92" s="218"/>
      <c r="J92" s="222"/>
      <c r="K92" s="202"/>
      <c r="L92" s="205"/>
      <c r="M92" s="208"/>
      <c r="N92" s="150"/>
      <c r="O92" s="202"/>
      <c r="P92" s="205"/>
      <c r="Q92" s="210"/>
      <c r="R92" s="100">
        <v>2</v>
      </c>
      <c r="S92" s="101" t="s">
        <v>405</v>
      </c>
      <c r="T92" s="102" t="str">
        <f t="shared" si="163"/>
        <v>Probabilidad</v>
      </c>
      <c r="U92" s="103" t="s">
        <v>14</v>
      </c>
      <c r="V92" s="103" t="s">
        <v>9</v>
      </c>
      <c r="W92" s="104" t="str">
        <f t="shared" si="164"/>
        <v>40%</v>
      </c>
      <c r="X92" s="103" t="s">
        <v>20</v>
      </c>
      <c r="Y92" s="103" t="s">
        <v>22</v>
      </c>
      <c r="Z92" s="103" t="s">
        <v>113</v>
      </c>
      <c r="AA92" s="105">
        <f t="shared" si="165"/>
        <v>0</v>
      </c>
      <c r="AB92" s="106" t="str">
        <f t="shared" si="166"/>
        <v>Muy Baja</v>
      </c>
      <c r="AC92" s="107">
        <f t="shared" si="167"/>
        <v>0</v>
      </c>
      <c r="AD92" s="106" t="str">
        <f t="shared" si="168"/>
        <v>Leve</v>
      </c>
      <c r="AE92" s="107">
        <f t="shared" si="169"/>
        <v>0</v>
      </c>
      <c r="AF92" s="108" t="str">
        <f t="shared" si="170"/>
        <v>Bajo</v>
      </c>
      <c r="AG92" s="109" t="s">
        <v>129</v>
      </c>
      <c r="AH92" s="144" t="s">
        <v>408</v>
      </c>
      <c r="AI92" s="142" t="s">
        <v>224</v>
      </c>
      <c r="AJ92" s="143">
        <v>44378</v>
      </c>
      <c r="AK92" s="143">
        <v>44561</v>
      </c>
      <c r="AL92" s="144" t="s">
        <v>407</v>
      </c>
      <c r="AM92" s="111"/>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row>
    <row r="93" spans="1:71" ht="151.5" customHeight="1" x14ac:dyDescent="0.25">
      <c r="A93" s="231"/>
      <c r="B93" s="215"/>
      <c r="C93" s="224"/>
      <c r="D93" s="224"/>
      <c r="E93" s="218"/>
      <c r="F93" s="218"/>
      <c r="G93" s="218"/>
      <c r="H93" s="220"/>
      <c r="I93" s="218"/>
      <c r="J93" s="222"/>
      <c r="K93" s="203"/>
      <c r="L93" s="206"/>
      <c r="M93" s="208"/>
      <c r="N93" s="150"/>
      <c r="O93" s="203"/>
      <c r="P93" s="206"/>
      <c r="Q93" s="211"/>
      <c r="R93" s="100">
        <v>3</v>
      </c>
      <c r="S93" s="101"/>
      <c r="T93" s="102" t="str">
        <f t="shared" si="163"/>
        <v>Probabilidad</v>
      </c>
      <c r="U93" s="103" t="s">
        <v>15</v>
      </c>
      <c r="V93" s="103" t="s">
        <v>9</v>
      </c>
      <c r="W93" s="104" t="str">
        <f t="shared" si="164"/>
        <v>30%</v>
      </c>
      <c r="X93" s="103" t="s">
        <v>20</v>
      </c>
      <c r="Y93" s="103" t="s">
        <v>23</v>
      </c>
      <c r="Z93" s="103" t="s">
        <v>114</v>
      </c>
      <c r="AA93" s="105">
        <f t="shared" si="165"/>
        <v>0</v>
      </c>
      <c r="AB93" s="106" t="str">
        <f t="shared" si="166"/>
        <v>Muy Baja</v>
      </c>
      <c r="AC93" s="107">
        <f t="shared" si="167"/>
        <v>0</v>
      </c>
      <c r="AD93" s="106" t="str">
        <f t="shared" si="168"/>
        <v>Leve</v>
      </c>
      <c r="AE93" s="107">
        <f t="shared" si="169"/>
        <v>0</v>
      </c>
      <c r="AF93" s="108" t="str">
        <f t="shared" si="170"/>
        <v>Bajo</v>
      </c>
      <c r="AG93" s="109"/>
      <c r="AH93" s="148"/>
      <c r="AI93" s="111"/>
      <c r="AJ93" s="112"/>
      <c r="AK93" s="112"/>
      <c r="AL93" s="148"/>
      <c r="AM93" s="111"/>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row>
    <row r="94" spans="1:71" ht="151.5" customHeight="1" x14ac:dyDescent="0.25">
      <c r="A94" s="216">
        <v>30</v>
      </c>
      <c r="B94" s="213" t="s">
        <v>409</v>
      </c>
      <c r="C94" s="223" t="s">
        <v>550</v>
      </c>
      <c r="D94" s="223" t="s">
        <v>410</v>
      </c>
      <c r="E94" s="217" t="s">
        <v>125</v>
      </c>
      <c r="F94" s="225" t="s">
        <v>411</v>
      </c>
      <c r="G94" s="225" t="s">
        <v>412</v>
      </c>
      <c r="H94" s="219" t="s">
        <v>501</v>
      </c>
      <c r="I94" s="217" t="s">
        <v>462</v>
      </c>
      <c r="J94" s="221">
        <v>12</v>
      </c>
      <c r="K94" s="201" t="str">
        <f>IF(J94&lt;=0,"",IF(J94&lt;=2,"Muy Baja",IF(J94&lt;=24,"Baja",IF(J94&lt;=500,"Media",IF(J94&lt;=5000,"Alta","Muy Alta")))))</f>
        <v>Baja</v>
      </c>
      <c r="L94" s="204">
        <f>IF(K94="","",IF(K94="Muy Baja",0.2,IF(K94="Baja",0.4,IF(K94="Media",0.6,IF(K94="Alta",0.8,IF(K94="Muy Alta",1,))))))</f>
        <v>0.4</v>
      </c>
      <c r="M94" s="207" t="s">
        <v>146</v>
      </c>
      <c r="N94" s="149" t="str">
        <f>IF(NOT(ISERROR(MATCH(M94,'Tabla Impacto'!$B$221:$B$223,0))),'Tabla Impacto'!$F$223&amp;"Por favor no seleccionar los criterios de impacto(Afectación Económica o presupuestal y Pérdida Reputacional)",M94)</f>
        <v xml:space="preserve">     El riesgo afecta la imagen de la entidad con algunos usuarios de relevancia frente al logro de los objetivos</v>
      </c>
      <c r="O94" s="201" t="str">
        <f>IF(OR(N94='Tabla Impacto'!$C$11,N94='Tabla Impacto'!$D$11),"Leve",IF(OR(N94='Tabla Impacto'!$C$12,N94='Tabla Impacto'!$D$12),"Menor",IF(OR(N94='Tabla Impacto'!$C$13,N94='Tabla Impacto'!$D$13),"Moderado",IF(OR(N94='Tabla Impacto'!$C$14,N94='Tabla Impacto'!$D$14),"Mayor",IF(OR(N94='Tabla Impacto'!$C$15,N94='Tabla Impacto'!$D$15),"Catastrófico","")))))</f>
        <v>Moderado</v>
      </c>
      <c r="P94" s="204">
        <f>IF(O94="","",IF(O94="Leve",0.2,IF(O94="Menor",0.4,IF(O94="Moderado",0.6,IF(O94="Mayor",0.8,IF(O94="Catastrófico",1,))))))</f>
        <v>0.6</v>
      </c>
      <c r="Q94" s="209" t="str">
        <f>IF(OR(AND(K94="Muy Baja",O94="Leve"),AND(K94="Muy Baja",O94="Menor"),AND(K94="Baja",O94="Leve")),"Bajo",IF(OR(AND(K94="Muy baja",O94="Moderado"),AND(K94="Baja",O94="Menor"),AND(K94="Baja",O94="Moderado"),AND(K94="Media",O94="Leve"),AND(K94="Media",O94="Menor"),AND(K94="Media",O94="Moderado"),AND(K94="Alta",O94="Leve"),AND(K94="Alta",O94="Menor")),"Moderado",IF(OR(AND(K94="Muy Baja",O94="Mayor"),AND(K94="Baja",O94="Mayor"),AND(K94="Media",O94="Mayor"),AND(K94="Alta",O94="Moderado"),AND(K94="Alta",O94="Mayor"),AND(K94="Muy Alta",O94="Leve"),AND(K94="Muy Alta",O94="Menor"),AND(K94="Muy Alta",O94="Moderado"),AND(K94="Muy Alta",O94="Mayor")),"Alto",IF(OR(AND(K94="Muy Baja",O94="Catastrófico"),AND(K94="Baja",O94="Catastrófico"),AND(K94="Media",O94="Catastrófico"),AND(K94="Alta",O94="Catastrófico"),AND(K94="Muy Alta",O94="Catastrófico")),"Extremo",""))))</f>
        <v>Moderado</v>
      </c>
      <c r="R94" s="100">
        <v>1</v>
      </c>
      <c r="S94" s="101" t="s">
        <v>413</v>
      </c>
      <c r="T94" s="102" t="str">
        <f t="shared" si="27"/>
        <v>Probabilidad</v>
      </c>
      <c r="U94" s="103" t="s">
        <v>14</v>
      </c>
      <c r="V94" s="103" t="s">
        <v>9</v>
      </c>
      <c r="W94" s="104" t="str">
        <f t="shared" si="28"/>
        <v>40%</v>
      </c>
      <c r="X94" s="103" t="s">
        <v>19</v>
      </c>
      <c r="Y94" s="103" t="s">
        <v>22</v>
      </c>
      <c r="Z94" s="103" t="s">
        <v>113</v>
      </c>
      <c r="AA94" s="105">
        <f t="shared" si="33"/>
        <v>0.24</v>
      </c>
      <c r="AB94" s="106" t="str">
        <f t="shared" si="29"/>
        <v>Baja</v>
      </c>
      <c r="AC94" s="107">
        <f t="shared" si="30"/>
        <v>0.24</v>
      </c>
      <c r="AD94" s="106" t="str">
        <f t="shared" si="31"/>
        <v>Moderado</v>
      </c>
      <c r="AE94" s="107">
        <f t="shared" si="34"/>
        <v>0.6</v>
      </c>
      <c r="AF94" s="108" t="str">
        <f t="shared" si="32"/>
        <v>Moderado</v>
      </c>
      <c r="AG94" s="109" t="s">
        <v>129</v>
      </c>
      <c r="AH94" s="144" t="s">
        <v>414</v>
      </c>
      <c r="AI94" s="111" t="s">
        <v>256</v>
      </c>
      <c r="AJ94" s="112" t="s">
        <v>225</v>
      </c>
      <c r="AK94" s="112" t="s">
        <v>225</v>
      </c>
      <c r="AL94" s="148"/>
      <c r="AM94" s="111"/>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row>
    <row r="95" spans="1:71" ht="151.5" customHeight="1" x14ac:dyDescent="0.25">
      <c r="A95" s="212"/>
      <c r="B95" s="214"/>
      <c r="C95" s="227"/>
      <c r="D95" s="227"/>
      <c r="E95" s="218"/>
      <c r="F95" s="218"/>
      <c r="G95" s="218"/>
      <c r="H95" s="220"/>
      <c r="I95" s="218"/>
      <c r="J95" s="222"/>
      <c r="K95" s="202"/>
      <c r="L95" s="205"/>
      <c r="M95" s="208"/>
      <c r="N95" s="150"/>
      <c r="O95" s="202"/>
      <c r="P95" s="205"/>
      <c r="Q95" s="210"/>
      <c r="R95" s="100">
        <v>2</v>
      </c>
      <c r="S95" s="101" t="s">
        <v>524</v>
      </c>
      <c r="T95" s="102" t="str">
        <f t="shared" ref="T95:T99" si="171">IF(OR(U95="Preventivo",U95="Detectivo"),"Probabilidad",IF(U95="Correctivo","Impacto",""))</f>
        <v>Probabilidad</v>
      </c>
      <c r="U95" s="103" t="s">
        <v>14</v>
      </c>
      <c r="V95" s="103" t="s">
        <v>9</v>
      </c>
      <c r="W95" s="104" t="str">
        <f t="shared" ref="W95:W99" si="172">IF(AND(U95="Preventivo",V95="Automático"),"50%",IF(AND(U95="Preventivo",V95="Manual"),"40%",IF(AND(U95="Detectivo",V95="Automático"),"40%",IF(AND(U95="Detectivo",V95="Manual"),"30%",IF(AND(U95="Correctivo",V95="Automático"),"35%",IF(AND(U95="Correctivo",V95="Manual"),"25%",""))))))</f>
        <v>40%</v>
      </c>
      <c r="X95" s="103" t="s">
        <v>19</v>
      </c>
      <c r="Y95" s="103" t="s">
        <v>22</v>
      </c>
      <c r="Z95" s="103" t="s">
        <v>113</v>
      </c>
      <c r="AA95" s="105">
        <f t="shared" ref="AA95:AA99" si="173">IFERROR(IF(T95="Probabilidad",(L95-(+L95*W95)),IF(T95="Impacto",L95,"")),"")</f>
        <v>0</v>
      </c>
      <c r="AB95" s="106" t="str">
        <f t="shared" ref="AB95:AB99" si="174">IFERROR(IF(AA95="","",IF(AA95&lt;=0.2,"Muy Baja",IF(AA95&lt;=0.4,"Baja",IF(AA95&lt;=0.6,"Media",IF(AA95&lt;=0.8,"Alta","Muy Alta"))))),"")</f>
        <v>Muy Baja</v>
      </c>
      <c r="AC95" s="107">
        <f t="shared" ref="AC95:AC99" si="175">+AA95</f>
        <v>0</v>
      </c>
      <c r="AD95" s="106" t="str">
        <f t="shared" ref="AD95:AD99" si="176">IFERROR(IF(AE95="","",IF(AE95&lt;=0.2,"Leve",IF(AE95&lt;=0.4,"Menor",IF(AE95&lt;=0.6,"Moderado",IF(AE95&lt;=0.8,"Mayor","Catastrófico"))))),"")</f>
        <v>Leve</v>
      </c>
      <c r="AE95" s="107">
        <f t="shared" ref="AE95:AE99" si="177">IFERROR(IF(T95="Impacto",(P95-(+P95*W95)),IF(T95="Probabilidad",P95,"")),"")</f>
        <v>0</v>
      </c>
      <c r="AF95" s="108" t="str">
        <f t="shared" ref="AF95:AF99" si="178">IFERROR(IF(OR(AND(AB95="Muy Baja",AD95="Leve"),AND(AB95="Muy Baja",AD95="Menor"),AND(AB95="Baja",AD95="Leve")),"Bajo",IF(OR(AND(AB95="Muy baja",AD95="Moderado"),AND(AB95="Baja",AD95="Menor"),AND(AB95="Baja",AD95="Moderado"),AND(AB95="Media",AD95="Leve"),AND(AB95="Media",AD95="Menor"),AND(AB95="Media",AD95="Moderado"),AND(AB95="Alta",AD95="Leve"),AND(AB95="Alta",AD95="Menor")),"Moderado",IF(OR(AND(AB95="Muy Baja",AD95="Mayor"),AND(AB95="Baja",AD95="Mayor"),AND(AB95="Media",AD95="Mayor"),AND(AB95="Alta",AD95="Moderado"),AND(AB95="Alta",AD95="Mayor"),AND(AB95="Muy Alta",AD95="Leve"),AND(AB95="Muy Alta",AD95="Menor"),AND(AB95="Muy Alta",AD95="Moderado"),AND(AB95="Muy Alta",AD95="Mayor")),"Alto",IF(OR(AND(AB95="Muy Baja",AD95="Catastrófico"),AND(AB95="Baja",AD95="Catastrófico"),AND(AB95="Media",AD95="Catastrófico"),AND(AB95="Alta",AD95="Catastrófico"),AND(AB95="Muy Alta",AD95="Catastrófico")),"Extremo","")))),"")</f>
        <v>Bajo</v>
      </c>
      <c r="AG95" s="109" t="s">
        <v>129</v>
      </c>
      <c r="AH95" s="148" t="s">
        <v>478</v>
      </c>
      <c r="AI95" s="112" t="s">
        <v>225</v>
      </c>
      <c r="AJ95" s="112" t="s">
        <v>225</v>
      </c>
      <c r="AK95" s="112" t="s">
        <v>225</v>
      </c>
      <c r="AL95" s="148"/>
      <c r="AM95" s="111"/>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row>
    <row r="96" spans="1:71" ht="151.5" customHeight="1" x14ac:dyDescent="0.25">
      <c r="A96" s="212"/>
      <c r="B96" s="215"/>
      <c r="C96" s="227"/>
      <c r="D96" s="227"/>
      <c r="E96" s="218"/>
      <c r="F96" s="218"/>
      <c r="G96" s="218"/>
      <c r="H96" s="220"/>
      <c r="I96" s="218"/>
      <c r="J96" s="222"/>
      <c r="K96" s="203"/>
      <c r="L96" s="206"/>
      <c r="M96" s="208"/>
      <c r="N96" s="150"/>
      <c r="O96" s="203"/>
      <c r="P96" s="206"/>
      <c r="Q96" s="211"/>
      <c r="R96" s="100">
        <v>3</v>
      </c>
      <c r="S96" s="101"/>
      <c r="T96" s="102" t="str">
        <f t="shared" si="171"/>
        <v>Probabilidad</v>
      </c>
      <c r="U96" s="103" t="s">
        <v>15</v>
      </c>
      <c r="V96" s="103" t="s">
        <v>9</v>
      </c>
      <c r="W96" s="104" t="str">
        <f t="shared" si="172"/>
        <v>30%</v>
      </c>
      <c r="X96" s="103" t="s">
        <v>20</v>
      </c>
      <c r="Y96" s="103" t="s">
        <v>23</v>
      </c>
      <c r="Z96" s="103" t="s">
        <v>114</v>
      </c>
      <c r="AA96" s="105">
        <f t="shared" si="173"/>
        <v>0</v>
      </c>
      <c r="AB96" s="106" t="str">
        <f t="shared" si="174"/>
        <v>Muy Baja</v>
      </c>
      <c r="AC96" s="107">
        <f t="shared" si="175"/>
        <v>0</v>
      </c>
      <c r="AD96" s="106" t="str">
        <f t="shared" si="176"/>
        <v>Leve</v>
      </c>
      <c r="AE96" s="107">
        <f t="shared" si="177"/>
        <v>0</v>
      </c>
      <c r="AF96" s="108" t="str">
        <f t="shared" si="178"/>
        <v>Bajo</v>
      </c>
      <c r="AG96" s="109"/>
      <c r="AH96" s="148"/>
      <c r="AI96" s="111"/>
      <c r="AJ96" s="112"/>
      <c r="AK96" s="112"/>
      <c r="AL96" s="148"/>
      <c r="AM96" s="111"/>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row>
    <row r="97" spans="1:71" ht="151.5" customHeight="1" x14ac:dyDescent="0.25">
      <c r="A97" s="212">
        <v>31</v>
      </c>
      <c r="B97" s="213" t="s">
        <v>409</v>
      </c>
      <c r="C97" s="223" t="s">
        <v>543</v>
      </c>
      <c r="D97" s="223" t="s">
        <v>410</v>
      </c>
      <c r="E97" s="217" t="s">
        <v>125</v>
      </c>
      <c r="F97" s="217" t="s">
        <v>416</v>
      </c>
      <c r="G97" s="217" t="s">
        <v>417</v>
      </c>
      <c r="H97" s="228" t="s">
        <v>415</v>
      </c>
      <c r="I97" s="217" t="s">
        <v>462</v>
      </c>
      <c r="J97" s="221">
        <v>1096</v>
      </c>
      <c r="K97" s="201" t="str">
        <f>IF(J97&lt;=0,"",IF(J97&lt;=2,"Muy Baja",IF(J97&lt;=24,"Baja",IF(J97&lt;=500,"Media",IF(J97&lt;=5000,"Alta","Muy Alta")))))</f>
        <v>Alta</v>
      </c>
      <c r="L97" s="204">
        <f>IF(K97="","",IF(K97="Muy Baja",0.2,IF(K97="Baja",0.4,IF(K97="Media",0.6,IF(K97="Alta",0.8,IF(K97="Muy Alta",1,))))))</f>
        <v>0.8</v>
      </c>
      <c r="M97" s="207" t="s">
        <v>146</v>
      </c>
      <c r="N97" s="149" t="str">
        <f>IF(NOT(ISERROR(MATCH(M97,'Tabla Impacto'!$B$221:$B$223,0))),'Tabla Impacto'!$F$223&amp;"Por favor no seleccionar los criterios de impacto(Afectación Económica o presupuestal y Pérdida Reputacional)",M97)</f>
        <v xml:space="preserve">     El riesgo afecta la imagen de la entidad con algunos usuarios de relevancia frente al logro de los objetivos</v>
      </c>
      <c r="O97" s="201" t="str">
        <f>IF(OR(N97='Tabla Impacto'!$C$11,N97='Tabla Impacto'!$D$11),"Leve",IF(OR(N97='Tabla Impacto'!$C$12,N97='Tabla Impacto'!$D$12),"Menor",IF(OR(N97='Tabla Impacto'!$C$13,N97='Tabla Impacto'!$D$13),"Moderado",IF(OR(N97='Tabla Impacto'!$C$14,N97='Tabla Impacto'!$D$14),"Mayor",IF(OR(N97='Tabla Impacto'!$C$15,N97='Tabla Impacto'!$D$15),"Catastrófico","")))))</f>
        <v>Moderado</v>
      </c>
      <c r="P97" s="204">
        <f>IF(O97="","",IF(O97="Leve",0.2,IF(O97="Menor",0.4,IF(O97="Moderado",0.6,IF(O97="Mayor",0.8,IF(O97="Catastrófico",1,))))))</f>
        <v>0.6</v>
      </c>
      <c r="Q97" s="209" t="str">
        <f>IF(OR(AND(K97="Muy Baja",O97="Leve"),AND(K97="Muy Baja",O97="Menor"),AND(K97="Baja",O97="Leve")),"Bajo",IF(OR(AND(K97="Muy baja",O97="Moderado"),AND(K97="Baja",O97="Menor"),AND(K97="Baja",O97="Moderado"),AND(K97="Media",O97="Leve"),AND(K97="Media",O97="Menor"),AND(K97="Media",O97="Moderado"),AND(K97="Alta",O97="Leve"),AND(K97="Alta",O97="Menor")),"Moderado",IF(OR(AND(K97="Muy Baja",O97="Mayor"),AND(K97="Baja",O97="Mayor"),AND(K97="Media",O97="Mayor"),AND(K97="Alta",O97="Moderado"),AND(K97="Alta",O97="Mayor"),AND(K97="Muy Alta",O97="Leve"),AND(K97="Muy Alta",O97="Menor"),AND(K97="Muy Alta",O97="Moderado"),AND(K97="Muy Alta",O97="Mayor")),"Alto",IF(OR(AND(K97="Muy Baja",O97="Catastrófico"),AND(K97="Baja",O97="Catastrófico"),AND(K97="Media",O97="Catastrófico"),AND(K97="Alta",O97="Catastrófico"),AND(K97="Muy Alta",O97="Catastrófico")),"Extremo",""))))</f>
        <v>Alto</v>
      </c>
      <c r="R97" s="100">
        <v>1</v>
      </c>
      <c r="S97" s="101" t="s">
        <v>538</v>
      </c>
      <c r="T97" s="102" t="str">
        <f t="shared" si="171"/>
        <v>Probabilidad</v>
      </c>
      <c r="U97" s="103" t="s">
        <v>14</v>
      </c>
      <c r="V97" s="103" t="s">
        <v>9</v>
      </c>
      <c r="W97" s="104" t="str">
        <f t="shared" si="172"/>
        <v>40%</v>
      </c>
      <c r="X97" s="103" t="s">
        <v>20</v>
      </c>
      <c r="Y97" s="103" t="s">
        <v>22</v>
      </c>
      <c r="Z97" s="103" t="s">
        <v>113</v>
      </c>
      <c r="AA97" s="105">
        <f t="shared" si="173"/>
        <v>0.48</v>
      </c>
      <c r="AB97" s="106" t="str">
        <f t="shared" si="174"/>
        <v>Media</v>
      </c>
      <c r="AC97" s="107">
        <f t="shared" si="175"/>
        <v>0.48</v>
      </c>
      <c r="AD97" s="106" t="str">
        <f t="shared" si="176"/>
        <v>Moderado</v>
      </c>
      <c r="AE97" s="107">
        <f t="shared" si="177"/>
        <v>0.6</v>
      </c>
      <c r="AF97" s="108" t="str">
        <f t="shared" si="178"/>
        <v>Moderado</v>
      </c>
      <c r="AG97" s="109" t="s">
        <v>129</v>
      </c>
      <c r="AH97" s="148" t="s">
        <v>479</v>
      </c>
      <c r="AI97" s="111" t="s">
        <v>418</v>
      </c>
      <c r="AJ97" s="112">
        <v>44440</v>
      </c>
      <c r="AK97" s="112">
        <v>44561</v>
      </c>
      <c r="AL97" s="148" t="s">
        <v>525</v>
      </c>
      <c r="AM97" s="111"/>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row>
    <row r="98" spans="1:71" ht="151.5" customHeight="1" x14ac:dyDescent="0.25">
      <c r="A98" s="212"/>
      <c r="B98" s="214"/>
      <c r="C98" s="227"/>
      <c r="D98" s="227"/>
      <c r="E98" s="218"/>
      <c r="F98" s="218"/>
      <c r="G98" s="218"/>
      <c r="H98" s="229"/>
      <c r="I98" s="218"/>
      <c r="J98" s="222"/>
      <c r="K98" s="202"/>
      <c r="L98" s="205"/>
      <c r="M98" s="208"/>
      <c r="N98" s="150"/>
      <c r="O98" s="202"/>
      <c r="P98" s="205"/>
      <c r="Q98" s="210"/>
      <c r="R98" s="100">
        <v>2</v>
      </c>
      <c r="S98" s="101" t="s">
        <v>480</v>
      </c>
      <c r="T98" s="102" t="str">
        <f t="shared" si="171"/>
        <v>Probabilidad</v>
      </c>
      <c r="U98" s="103" t="s">
        <v>14</v>
      </c>
      <c r="V98" s="103" t="s">
        <v>9</v>
      </c>
      <c r="W98" s="104" t="str">
        <f t="shared" si="172"/>
        <v>40%</v>
      </c>
      <c r="X98" s="103" t="s">
        <v>19</v>
      </c>
      <c r="Y98" s="103" t="s">
        <v>22</v>
      </c>
      <c r="Z98" s="103" t="s">
        <v>113</v>
      </c>
      <c r="AA98" s="105">
        <f t="shared" si="173"/>
        <v>0</v>
      </c>
      <c r="AB98" s="106" t="str">
        <f t="shared" si="174"/>
        <v>Muy Baja</v>
      </c>
      <c r="AC98" s="107">
        <f t="shared" si="175"/>
        <v>0</v>
      </c>
      <c r="AD98" s="106" t="str">
        <f t="shared" si="176"/>
        <v>Leve</v>
      </c>
      <c r="AE98" s="107">
        <f t="shared" si="177"/>
        <v>0</v>
      </c>
      <c r="AF98" s="108" t="str">
        <f t="shared" si="178"/>
        <v>Bajo</v>
      </c>
      <c r="AG98" s="109" t="s">
        <v>129</v>
      </c>
      <c r="AH98" s="148" t="s">
        <v>419</v>
      </c>
      <c r="AI98" s="111" t="s">
        <v>420</v>
      </c>
      <c r="AJ98" s="112" t="s">
        <v>225</v>
      </c>
      <c r="AK98" s="112" t="s">
        <v>225</v>
      </c>
      <c r="AL98" s="148"/>
      <c r="AM98" s="111"/>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row>
    <row r="99" spans="1:71" ht="151.5" customHeight="1" x14ac:dyDescent="0.25">
      <c r="A99" s="212"/>
      <c r="B99" s="215"/>
      <c r="C99" s="227"/>
      <c r="D99" s="227"/>
      <c r="E99" s="218"/>
      <c r="F99" s="218"/>
      <c r="G99" s="218"/>
      <c r="H99" s="229"/>
      <c r="I99" s="218"/>
      <c r="J99" s="222"/>
      <c r="K99" s="203"/>
      <c r="L99" s="206"/>
      <c r="M99" s="208"/>
      <c r="N99" s="150"/>
      <c r="O99" s="203"/>
      <c r="P99" s="206"/>
      <c r="Q99" s="211"/>
      <c r="R99" s="100">
        <v>3</v>
      </c>
      <c r="S99" s="101"/>
      <c r="T99" s="102" t="str">
        <f t="shared" si="171"/>
        <v>Probabilidad</v>
      </c>
      <c r="U99" s="103" t="s">
        <v>15</v>
      </c>
      <c r="V99" s="103" t="s">
        <v>9</v>
      </c>
      <c r="W99" s="104" t="str">
        <f t="shared" si="172"/>
        <v>30%</v>
      </c>
      <c r="X99" s="103" t="s">
        <v>20</v>
      </c>
      <c r="Y99" s="103" t="s">
        <v>23</v>
      </c>
      <c r="Z99" s="103" t="s">
        <v>114</v>
      </c>
      <c r="AA99" s="105">
        <f t="shared" si="173"/>
        <v>0</v>
      </c>
      <c r="AB99" s="106" t="str">
        <f t="shared" si="174"/>
        <v>Muy Baja</v>
      </c>
      <c r="AC99" s="107">
        <f t="shared" si="175"/>
        <v>0</v>
      </c>
      <c r="AD99" s="106" t="str">
        <f t="shared" si="176"/>
        <v>Leve</v>
      </c>
      <c r="AE99" s="107">
        <f t="shared" si="177"/>
        <v>0</v>
      </c>
      <c r="AF99" s="108" t="str">
        <f t="shared" si="178"/>
        <v>Bajo</v>
      </c>
      <c r="AG99" s="109"/>
      <c r="AH99" s="148"/>
      <c r="AI99" s="111"/>
      <c r="AJ99" s="112"/>
      <c r="AK99" s="112"/>
      <c r="AL99" s="148"/>
      <c r="AM99" s="111"/>
      <c r="AN99" s="23"/>
      <c r="AO99" s="23"/>
      <c r="AP99" s="23"/>
      <c r="AQ99" s="23"/>
      <c r="AR99" s="23"/>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23"/>
      <c r="BS99" s="23"/>
    </row>
    <row r="100" spans="1:71" ht="151.5" customHeight="1" x14ac:dyDescent="0.25">
      <c r="A100" s="212">
        <v>32</v>
      </c>
      <c r="B100" s="213" t="s">
        <v>421</v>
      </c>
      <c r="C100" s="223" t="s">
        <v>551</v>
      </c>
      <c r="D100" s="223" t="s">
        <v>422</v>
      </c>
      <c r="E100" s="217" t="s">
        <v>125</v>
      </c>
      <c r="F100" s="217" t="s">
        <v>423</v>
      </c>
      <c r="G100" s="217" t="s">
        <v>424</v>
      </c>
      <c r="H100" s="228" t="s">
        <v>425</v>
      </c>
      <c r="I100" s="217" t="s">
        <v>122</v>
      </c>
      <c r="J100" s="221">
        <v>365</v>
      </c>
      <c r="K100" s="201" t="str">
        <f>IF(J100&lt;=0,"",IF(J100&lt;=2,"Muy Baja",IF(J100&lt;=24,"Baja",IF(J100&lt;=500,"Media",IF(J100&lt;=5000,"Alta","Muy Alta")))))</f>
        <v>Media</v>
      </c>
      <c r="L100" s="204">
        <f>IF(K100="","",IF(K100="Muy Baja",0.2,IF(K100="Baja",0.4,IF(K100="Media",0.6,IF(K100="Alta",0.8,IF(K100="Muy Alta",1,))))))</f>
        <v>0.6</v>
      </c>
      <c r="M100" s="207" t="s">
        <v>146</v>
      </c>
      <c r="N100" s="149" t="str">
        <f>IF(NOT(ISERROR(MATCH(M100,'Tabla Impacto'!$B$221:$B$223,0))),'Tabla Impacto'!$F$223&amp;"Por favor no seleccionar los criterios de impacto(Afectación Económica o presupuestal y Pérdida Reputacional)",M100)</f>
        <v xml:space="preserve">     El riesgo afecta la imagen de la entidad con algunos usuarios de relevancia frente al logro de los objetivos</v>
      </c>
      <c r="O100" s="201" t="str">
        <f>IF(OR(N100='Tabla Impacto'!$C$11,N100='Tabla Impacto'!$D$11),"Leve",IF(OR(N100='Tabla Impacto'!$C$12,N100='Tabla Impacto'!$D$12),"Menor",IF(OR(N100='Tabla Impacto'!$C$13,N100='Tabla Impacto'!$D$13),"Moderado",IF(OR(N100='Tabla Impacto'!$C$14,N100='Tabla Impacto'!$D$14),"Mayor",IF(OR(N100='Tabla Impacto'!$C$15,N100='Tabla Impacto'!$D$15),"Catastrófico","")))))</f>
        <v>Moderado</v>
      </c>
      <c r="P100" s="204">
        <f>IF(O100="","",IF(O100="Leve",0.2,IF(O100="Menor",0.4,IF(O100="Moderado",0.6,IF(O100="Mayor",0.8,IF(O100="Catastrófico",1,))))))</f>
        <v>0.6</v>
      </c>
      <c r="Q100" s="209" t="str">
        <f>IF(OR(AND(K100="Muy Baja",O100="Leve"),AND(K100="Muy Baja",O100="Menor"),AND(K100="Baja",O100="Leve")),"Bajo",IF(OR(AND(K100="Muy baja",O100="Moderado"),AND(K100="Baja",O100="Menor"),AND(K100="Baja",O100="Moderado"),AND(K100="Media",O100="Leve"),AND(K100="Media",O100="Menor"),AND(K100="Media",O100="Moderado"),AND(K100="Alta",O100="Leve"),AND(K100="Alta",O100="Menor")),"Moderado",IF(OR(AND(K100="Muy Baja",O100="Mayor"),AND(K100="Baja",O100="Mayor"),AND(K100="Media",O100="Mayor"),AND(K100="Alta",O100="Moderado"),AND(K100="Alta",O100="Mayor"),AND(K100="Muy Alta",O100="Leve"),AND(K100="Muy Alta",O100="Menor"),AND(K100="Muy Alta",O100="Moderado"),AND(K100="Muy Alta",O100="Mayor")),"Alto",IF(OR(AND(K100="Muy Baja",O100="Catastrófico"),AND(K100="Baja",O100="Catastrófico"),AND(K100="Media",O100="Catastrófico"),AND(K100="Alta",O100="Catastrófico"),AND(K100="Muy Alta",O100="Catastrófico")),"Extremo",""))))</f>
        <v>Moderado</v>
      </c>
      <c r="R100" s="100">
        <v>1</v>
      </c>
      <c r="S100" s="101" t="s">
        <v>526</v>
      </c>
      <c r="T100" s="102" t="str">
        <f t="shared" ref="T100:T102" si="179">IF(OR(U100="Preventivo",U100="Detectivo"),"Probabilidad",IF(U100="Correctivo","Impacto",""))</f>
        <v>Probabilidad</v>
      </c>
      <c r="U100" s="103" t="s">
        <v>15</v>
      </c>
      <c r="V100" s="103" t="s">
        <v>9</v>
      </c>
      <c r="W100" s="104" t="str">
        <f t="shared" ref="W100:W102" si="180">IF(AND(U100="Preventivo",V100="Automático"),"50%",IF(AND(U100="Preventivo",V100="Manual"),"40%",IF(AND(U100="Detectivo",V100="Automático"),"40%",IF(AND(U100="Detectivo",V100="Manual"),"30%",IF(AND(U100="Correctivo",V100="Automático"),"35%",IF(AND(U100="Correctivo",V100="Manual"),"25%",""))))))</f>
        <v>30%</v>
      </c>
      <c r="X100" s="103" t="s">
        <v>19</v>
      </c>
      <c r="Y100" s="103" t="s">
        <v>22</v>
      </c>
      <c r="Z100" s="103" t="s">
        <v>113</v>
      </c>
      <c r="AA100" s="105">
        <f t="shared" ref="AA100:AA102" si="181">IFERROR(IF(T100="Probabilidad",(L100-(+L100*W100)),IF(T100="Impacto",L100,"")),"")</f>
        <v>0.42</v>
      </c>
      <c r="AB100" s="106" t="str">
        <f t="shared" ref="AB100:AB102" si="182">IFERROR(IF(AA100="","",IF(AA100&lt;=0.2,"Muy Baja",IF(AA100&lt;=0.4,"Baja",IF(AA100&lt;=0.6,"Media",IF(AA100&lt;=0.8,"Alta","Muy Alta"))))),"")</f>
        <v>Media</v>
      </c>
      <c r="AC100" s="107">
        <f t="shared" ref="AC100:AC102" si="183">+AA100</f>
        <v>0.42</v>
      </c>
      <c r="AD100" s="106" t="str">
        <f t="shared" ref="AD100:AD102" si="184">IFERROR(IF(AE100="","",IF(AE100&lt;=0.2,"Leve",IF(AE100&lt;=0.4,"Menor",IF(AE100&lt;=0.6,"Moderado",IF(AE100&lt;=0.8,"Mayor","Catastrófico"))))),"")</f>
        <v>Moderado</v>
      </c>
      <c r="AE100" s="107">
        <f t="shared" ref="AE100:AE102" si="185">IFERROR(IF(T100="Impacto",(P100-(+P100*W100)),IF(T100="Probabilidad",P100,"")),"")</f>
        <v>0.6</v>
      </c>
      <c r="AF100" s="108" t="str">
        <f t="shared" ref="AF100:AF102" si="186">IFERROR(IF(OR(AND(AB100="Muy Baja",AD100="Leve"),AND(AB100="Muy Baja",AD100="Menor"),AND(AB100="Baja",AD100="Leve")),"Bajo",IF(OR(AND(AB100="Muy baja",AD100="Moderado"),AND(AB100="Baja",AD100="Menor"),AND(AB100="Baja",AD100="Moderado"),AND(AB100="Media",AD100="Leve"),AND(AB100="Media",AD100="Menor"),AND(AB100="Media",AD100="Moderado"),AND(AB100="Alta",AD100="Leve"),AND(AB100="Alta",AD100="Menor")),"Moderado",IF(OR(AND(AB100="Muy Baja",AD100="Mayor"),AND(AB100="Baja",AD100="Mayor"),AND(AB100="Media",AD100="Mayor"),AND(AB100="Alta",AD100="Moderado"),AND(AB100="Alta",AD100="Mayor"),AND(AB100="Muy Alta",AD100="Leve"),AND(AB100="Muy Alta",AD100="Menor"),AND(AB100="Muy Alta",AD100="Moderado"),AND(AB100="Muy Alta",AD100="Mayor")),"Alto",IF(OR(AND(AB100="Muy Baja",AD100="Catastrófico"),AND(AB100="Baja",AD100="Catastrófico"),AND(AB100="Media",AD100="Catastrófico"),AND(AB100="Alta",AD100="Catastrófico"),AND(AB100="Muy Alta",AD100="Catastrófico")),"Extremo","")))),"")</f>
        <v>Moderado</v>
      </c>
      <c r="AG100" s="109" t="s">
        <v>129</v>
      </c>
      <c r="AH100" s="154" t="s">
        <v>426</v>
      </c>
      <c r="AI100" s="146" t="s">
        <v>233</v>
      </c>
      <c r="AJ100" s="147" t="s">
        <v>225</v>
      </c>
      <c r="AK100" s="147" t="s">
        <v>225</v>
      </c>
      <c r="AL100" s="154" t="s">
        <v>527</v>
      </c>
      <c r="AM100" s="111"/>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23"/>
      <c r="BS100" s="23"/>
    </row>
    <row r="101" spans="1:71" ht="151.5" customHeight="1" x14ac:dyDescent="0.25">
      <c r="A101" s="212"/>
      <c r="B101" s="214"/>
      <c r="C101" s="227"/>
      <c r="D101" s="227"/>
      <c r="E101" s="218"/>
      <c r="F101" s="218"/>
      <c r="G101" s="218"/>
      <c r="H101" s="229"/>
      <c r="I101" s="218"/>
      <c r="J101" s="222"/>
      <c r="K101" s="202"/>
      <c r="L101" s="205"/>
      <c r="M101" s="208"/>
      <c r="N101" s="150"/>
      <c r="O101" s="202"/>
      <c r="P101" s="205"/>
      <c r="Q101" s="210"/>
      <c r="R101" s="100">
        <v>2</v>
      </c>
      <c r="S101" s="101" t="s">
        <v>540</v>
      </c>
      <c r="T101" s="102" t="str">
        <f t="shared" si="179"/>
        <v>Probabilidad</v>
      </c>
      <c r="U101" s="103" t="s">
        <v>14</v>
      </c>
      <c r="V101" s="103" t="s">
        <v>9</v>
      </c>
      <c r="W101" s="104" t="str">
        <f t="shared" si="180"/>
        <v>40%</v>
      </c>
      <c r="X101" s="103" t="s">
        <v>19</v>
      </c>
      <c r="Y101" s="103" t="s">
        <v>23</v>
      </c>
      <c r="Z101" s="103" t="s">
        <v>113</v>
      </c>
      <c r="AA101" s="105">
        <f t="shared" si="181"/>
        <v>0</v>
      </c>
      <c r="AB101" s="106" t="str">
        <f t="shared" si="182"/>
        <v>Muy Baja</v>
      </c>
      <c r="AC101" s="107">
        <f t="shared" si="183"/>
        <v>0</v>
      </c>
      <c r="AD101" s="106" t="str">
        <f t="shared" si="184"/>
        <v>Leve</v>
      </c>
      <c r="AE101" s="107">
        <f t="shared" si="185"/>
        <v>0</v>
      </c>
      <c r="AF101" s="108" t="str">
        <f t="shared" si="186"/>
        <v>Bajo</v>
      </c>
      <c r="AG101" s="109" t="s">
        <v>129</v>
      </c>
      <c r="AH101" s="154" t="s">
        <v>427</v>
      </c>
      <c r="AI101" s="146" t="s">
        <v>256</v>
      </c>
      <c r="AJ101" s="147" t="s">
        <v>225</v>
      </c>
      <c r="AK101" s="147" t="s">
        <v>225</v>
      </c>
      <c r="AL101" s="154" t="s">
        <v>428</v>
      </c>
      <c r="AM101" s="111"/>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row>
    <row r="102" spans="1:71" ht="99.75" customHeight="1" x14ac:dyDescent="0.25">
      <c r="A102" s="212"/>
      <c r="B102" s="215"/>
      <c r="C102" s="227"/>
      <c r="D102" s="227"/>
      <c r="E102" s="218"/>
      <c r="F102" s="218"/>
      <c r="G102" s="218"/>
      <c r="H102" s="229"/>
      <c r="I102" s="218"/>
      <c r="J102" s="222"/>
      <c r="K102" s="203"/>
      <c r="L102" s="206"/>
      <c r="M102" s="208"/>
      <c r="N102" s="150"/>
      <c r="O102" s="203"/>
      <c r="P102" s="206"/>
      <c r="Q102" s="211"/>
      <c r="R102" s="100">
        <v>3</v>
      </c>
      <c r="S102" s="101"/>
      <c r="T102" s="102" t="str">
        <f t="shared" si="179"/>
        <v>Probabilidad</v>
      </c>
      <c r="U102" s="103" t="s">
        <v>15</v>
      </c>
      <c r="V102" s="103" t="s">
        <v>9</v>
      </c>
      <c r="W102" s="104" t="str">
        <f t="shared" si="180"/>
        <v>30%</v>
      </c>
      <c r="X102" s="103" t="s">
        <v>20</v>
      </c>
      <c r="Y102" s="103" t="s">
        <v>23</v>
      </c>
      <c r="Z102" s="103" t="s">
        <v>114</v>
      </c>
      <c r="AA102" s="105">
        <f t="shared" si="181"/>
        <v>0</v>
      </c>
      <c r="AB102" s="106" t="str">
        <f t="shared" si="182"/>
        <v>Muy Baja</v>
      </c>
      <c r="AC102" s="107">
        <f t="shared" si="183"/>
        <v>0</v>
      </c>
      <c r="AD102" s="106" t="str">
        <f t="shared" si="184"/>
        <v>Leve</v>
      </c>
      <c r="AE102" s="107">
        <f t="shared" si="185"/>
        <v>0</v>
      </c>
      <c r="AF102" s="108" t="str">
        <f t="shared" si="186"/>
        <v>Bajo</v>
      </c>
      <c r="AG102" s="109"/>
      <c r="AH102" s="148"/>
      <c r="AI102" s="111"/>
      <c r="AJ102" s="112"/>
      <c r="AK102" s="112"/>
      <c r="AL102" s="148"/>
      <c r="AM102" s="111"/>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23"/>
      <c r="BS102" s="23"/>
    </row>
    <row r="103" spans="1:71" ht="151.5" customHeight="1" x14ac:dyDescent="0.25">
      <c r="A103" s="212">
        <v>33</v>
      </c>
      <c r="B103" s="213" t="s">
        <v>421</v>
      </c>
      <c r="C103" s="223" t="s">
        <v>551</v>
      </c>
      <c r="D103" s="223" t="s">
        <v>422</v>
      </c>
      <c r="E103" s="217" t="s">
        <v>125</v>
      </c>
      <c r="F103" s="217" t="s">
        <v>429</v>
      </c>
      <c r="G103" s="217" t="s">
        <v>481</v>
      </c>
      <c r="H103" s="219" t="s">
        <v>482</v>
      </c>
      <c r="I103" s="217" t="s">
        <v>462</v>
      </c>
      <c r="J103" s="221">
        <v>365</v>
      </c>
      <c r="K103" s="201" t="str">
        <f>IF(J103&lt;=0,"",IF(J103&lt;=2,"Muy Baja",IF(J103&lt;=24,"Baja",IF(J103&lt;=500,"Media",IF(J103&lt;=5000,"Alta","Muy Alta")))))</f>
        <v>Media</v>
      </c>
      <c r="L103" s="204">
        <f>IF(K103="","",IF(K103="Muy Baja",0.2,IF(K103="Baja",0.4,IF(K103="Media",0.6,IF(K103="Alta",0.8,IF(K103="Muy Alta",1,))))))</f>
        <v>0.6</v>
      </c>
      <c r="M103" s="207" t="s">
        <v>146</v>
      </c>
      <c r="N103" s="149" t="str">
        <f>IF(NOT(ISERROR(MATCH(M103,'Tabla Impacto'!$B$221:$B$223,0))),'Tabla Impacto'!$F$223&amp;"Por favor no seleccionar los criterios de impacto(Afectación Económica o presupuestal y Pérdida Reputacional)",M103)</f>
        <v xml:space="preserve">     El riesgo afecta la imagen de la entidad con algunos usuarios de relevancia frente al logro de los objetivos</v>
      </c>
      <c r="O103" s="201" t="str">
        <f>IF(OR(N103='Tabla Impacto'!$C$11,N103='Tabla Impacto'!$D$11),"Leve",IF(OR(N103='Tabla Impacto'!$C$12,N103='Tabla Impacto'!$D$12),"Menor",IF(OR(N103='Tabla Impacto'!$C$13,N103='Tabla Impacto'!$D$13),"Moderado",IF(OR(N103='Tabla Impacto'!$C$14,N103='Tabla Impacto'!$D$14),"Mayor",IF(OR(N103='Tabla Impacto'!$C$15,N103='Tabla Impacto'!$D$15),"Catastrófico","")))))</f>
        <v>Moderado</v>
      </c>
      <c r="P103" s="204">
        <f>IF(O103="","",IF(O103="Leve",0.2,IF(O103="Menor",0.4,IF(O103="Moderado",0.6,IF(O103="Mayor",0.8,IF(O103="Catastrófico",1,))))))</f>
        <v>0.6</v>
      </c>
      <c r="Q103" s="209" t="str">
        <f>IF(OR(AND(K103="Muy Baja",O103="Leve"),AND(K103="Muy Baja",O103="Menor"),AND(K103="Baja",O103="Leve")),"Bajo",IF(OR(AND(K103="Muy baja",O103="Moderado"),AND(K103="Baja",O103="Menor"),AND(K103="Baja",O103="Moderado"),AND(K103="Media",O103="Leve"),AND(K103="Media",O103="Menor"),AND(K103="Media",O103="Moderado"),AND(K103="Alta",O103="Leve"),AND(K103="Alta",O103="Menor")),"Moderado",IF(OR(AND(K103="Muy Baja",O103="Mayor"),AND(K103="Baja",O103="Mayor"),AND(K103="Media",O103="Mayor"),AND(K103="Alta",O103="Moderado"),AND(K103="Alta",O103="Mayor"),AND(K103="Muy Alta",O103="Leve"),AND(K103="Muy Alta",O103="Menor"),AND(K103="Muy Alta",O103="Moderado"),AND(K103="Muy Alta",O103="Mayor")),"Alto",IF(OR(AND(K103="Muy Baja",O103="Catastrófico"),AND(K103="Baja",O103="Catastrófico"),AND(K103="Media",O103="Catastrófico"),AND(K103="Alta",O103="Catastrófico"),AND(K103="Muy Alta",O103="Catastrófico")),"Extremo",""))))</f>
        <v>Moderado</v>
      </c>
      <c r="R103" s="100">
        <v>1</v>
      </c>
      <c r="S103" s="101" t="s">
        <v>483</v>
      </c>
      <c r="T103" s="102" t="str">
        <f t="shared" si="27"/>
        <v>Probabilidad</v>
      </c>
      <c r="U103" s="103" t="s">
        <v>14</v>
      </c>
      <c r="V103" s="103" t="s">
        <v>9</v>
      </c>
      <c r="W103" s="104" t="str">
        <f t="shared" si="28"/>
        <v>40%</v>
      </c>
      <c r="X103" s="103" t="s">
        <v>19</v>
      </c>
      <c r="Y103" s="103" t="s">
        <v>23</v>
      </c>
      <c r="Z103" s="103" t="s">
        <v>113</v>
      </c>
      <c r="AA103" s="105">
        <f t="shared" si="33"/>
        <v>0.36</v>
      </c>
      <c r="AB103" s="106" t="str">
        <f t="shared" si="29"/>
        <v>Baja</v>
      </c>
      <c r="AC103" s="107">
        <f t="shared" si="30"/>
        <v>0.36</v>
      </c>
      <c r="AD103" s="106" t="str">
        <f t="shared" si="31"/>
        <v>Moderado</v>
      </c>
      <c r="AE103" s="107">
        <f t="shared" si="34"/>
        <v>0.6</v>
      </c>
      <c r="AF103" s="108" t="str">
        <f t="shared" si="32"/>
        <v>Moderado</v>
      </c>
      <c r="AG103" s="109" t="s">
        <v>129</v>
      </c>
      <c r="AH103" s="154" t="s">
        <v>484</v>
      </c>
      <c r="AI103" s="146" t="s">
        <v>352</v>
      </c>
      <c r="AJ103" s="147" t="s">
        <v>225</v>
      </c>
      <c r="AK103" s="147" t="s">
        <v>225</v>
      </c>
      <c r="AL103" s="154" t="s">
        <v>430</v>
      </c>
      <c r="AM103" s="111"/>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3"/>
    </row>
    <row r="104" spans="1:71" ht="151.5" customHeight="1" x14ac:dyDescent="0.25">
      <c r="A104" s="212"/>
      <c r="B104" s="214"/>
      <c r="C104" s="227"/>
      <c r="D104" s="227"/>
      <c r="E104" s="218"/>
      <c r="F104" s="218"/>
      <c r="G104" s="218"/>
      <c r="H104" s="220"/>
      <c r="I104" s="218"/>
      <c r="J104" s="222"/>
      <c r="K104" s="202"/>
      <c r="L104" s="205"/>
      <c r="M104" s="208"/>
      <c r="N104" s="150"/>
      <c r="O104" s="202"/>
      <c r="P104" s="205"/>
      <c r="Q104" s="210"/>
      <c r="R104" s="100">
        <v>2</v>
      </c>
      <c r="S104" s="101" t="s">
        <v>528</v>
      </c>
      <c r="T104" s="102" t="str">
        <f t="shared" ref="T104:T105" si="187">IF(OR(U104="Preventivo",U104="Detectivo"),"Probabilidad",IF(U104="Correctivo","Impacto",""))</f>
        <v>Probabilidad</v>
      </c>
      <c r="U104" s="103" t="s">
        <v>14</v>
      </c>
      <c r="V104" s="103" t="s">
        <v>9</v>
      </c>
      <c r="W104" s="104" t="str">
        <f t="shared" ref="W104:W105" si="188">IF(AND(U104="Preventivo",V104="Automático"),"50%",IF(AND(U104="Preventivo",V104="Manual"),"40%",IF(AND(U104="Detectivo",V104="Automático"),"40%",IF(AND(U104="Detectivo",V104="Manual"),"30%",IF(AND(U104="Correctivo",V104="Automático"),"35%",IF(AND(U104="Correctivo",V104="Manual"),"25%",""))))))</f>
        <v>40%</v>
      </c>
      <c r="X104" s="103" t="s">
        <v>20</v>
      </c>
      <c r="Y104" s="103" t="s">
        <v>22</v>
      </c>
      <c r="Z104" s="103" t="s">
        <v>113</v>
      </c>
      <c r="AA104" s="105">
        <f t="shared" ref="AA104:AA105" si="189">IFERROR(IF(T104="Probabilidad",(L104-(+L104*W104)),IF(T104="Impacto",L104,"")),"")</f>
        <v>0</v>
      </c>
      <c r="AB104" s="106" t="str">
        <f t="shared" ref="AB104:AB105" si="190">IFERROR(IF(AA104="","",IF(AA104&lt;=0.2,"Muy Baja",IF(AA104&lt;=0.4,"Baja",IF(AA104&lt;=0.6,"Media",IF(AA104&lt;=0.8,"Alta","Muy Alta"))))),"")</f>
        <v>Muy Baja</v>
      </c>
      <c r="AC104" s="107">
        <f t="shared" ref="AC104:AC105" si="191">+AA104</f>
        <v>0</v>
      </c>
      <c r="AD104" s="106" t="str">
        <f t="shared" ref="AD104:AD105" si="192">IFERROR(IF(AE104="","",IF(AE104&lt;=0.2,"Leve",IF(AE104&lt;=0.4,"Menor",IF(AE104&lt;=0.6,"Moderado",IF(AE104&lt;=0.8,"Mayor","Catastrófico"))))),"")</f>
        <v>Leve</v>
      </c>
      <c r="AE104" s="107">
        <f t="shared" ref="AE104:AE105" si="193">IFERROR(IF(T104="Impacto",(P104-(+P104*W104)),IF(T104="Probabilidad",P104,"")),"")</f>
        <v>0</v>
      </c>
      <c r="AF104" s="108" t="str">
        <f t="shared" ref="AF104:AF105" si="194">IFERROR(IF(OR(AND(AB104="Muy Baja",AD104="Leve"),AND(AB104="Muy Baja",AD104="Menor"),AND(AB104="Baja",AD104="Leve")),"Bajo",IF(OR(AND(AB104="Muy baja",AD104="Moderado"),AND(AB104="Baja",AD104="Menor"),AND(AB104="Baja",AD104="Moderado"),AND(AB104="Media",AD104="Leve"),AND(AB104="Media",AD104="Menor"),AND(AB104="Media",AD104="Moderado"),AND(AB104="Alta",AD104="Leve"),AND(AB104="Alta",AD104="Menor")),"Moderado",IF(OR(AND(AB104="Muy Baja",AD104="Mayor"),AND(AB104="Baja",AD104="Mayor"),AND(AB104="Media",AD104="Mayor"),AND(AB104="Alta",AD104="Moderado"),AND(AB104="Alta",AD104="Mayor"),AND(AB104="Muy Alta",AD104="Leve"),AND(AB104="Muy Alta",AD104="Menor"),AND(AB104="Muy Alta",AD104="Moderado"),AND(AB104="Muy Alta",AD104="Mayor")),"Alto",IF(OR(AND(AB104="Muy Baja",AD104="Catastrófico"),AND(AB104="Baja",AD104="Catastrófico"),AND(AB104="Media",AD104="Catastrófico"),AND(AB104="Alta",AD104="Catastrófico"),AND(AB104="Muy Alta",AD104="Catastrófico")),"Extremo","")))),"")</f>
        <v>Bajo</v>
      </c>
      <c r="AG104" s="109" t="s">
        <v>129</v>
      </c>
      <c r="AH104" s="154" t="s">
        <v>426</v>
      </c>
      <c r="AI104" s="146" t="s">
        <v>233</v>
      </c>
      <c r="AJ104" s="147" t="s">
        <v>225</v>
      </c>
      <c r="AK104" s="147" t="s">
        <v>225</v>
      </c>
      <c r="AL104" s="154" t="s">
        <v>527</v>
      </c>
      <c r="AM104" s="111"/>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row>
    <row r="105" spans="1:71" ht="151.5" customHeight="1" x14ac:dyDescent="0.25">
      <c r="A105" s="212"/>
      <c r="B105" s="215"/>
      <c r="C105" s="227"/>
      <c r="D105" s="227"/>
      <c r="E105" s="218"/>
      <c r="F105" s="218"/>
      <c r="G105" s="218"/>
      <c r="H105" s="220"/>
      <c r="I105" s="218"/>
      <c r="J105" s="222"/>
      <c r="K105" s="203"/>
      <c r="L105" s="206"/>
      <c r="M105" s="208"/>
      <c r="N105" s="150"/>
      <c r="O105" s="203"/>
      <c r="P105" s="206"/>
      <c r="Q105" s="211"/>
      <c r="R105" s="100">
        <v>3</v>
      </c>
      <c r="S105" s="101"/>
      <c r="T105" s="102" t="str">
        <f t="shared" si="187"/>
        <v>Probabilidad</v>
      </c>
      <c r="U105" s="103" t="s">
        <v>15</v>
      </c>
      <c r="V105" s="103" t="s">
        <v>9</v>
      </c>
      <c r="W105" s="104" t="str">
        <f t="shared" si="188"/>
        <v>30%</v>
      </c>
      <c r="X105" s="103" t="s">
        <v>20</v>
      </c>
      <c r="Y105" s="103" t="s">
        <v>23</v>
      </c>
      <c r="Z105" s="103" t="s">
        <v>114</v>
      </c>
      <c r="AA105" s="105">
        <f t="shared" si="189"/>
        <v>0</v>
      </c>
      <c r="AB105" s="106" t="str">
        <f t="shared" si="190"/>
        <v>Muy Baja</v>
      </c>
      <c r="AC105" s="107">
        <f t="shared" si="191"/>
        <v>0</v>
      </c>
      <c r="AD105" s="106" t="str">
        <f t="shared" si="192"/>
        <v>Leve</v>
      </c>
      <c r="AE105" s="107">
        <f t="shared" si="193"/>
        <v>0</v>
      </c>
      <c r="AF105" s="108" t="str">
        <f t="shared" si="194"/>
        <v>Bajo</v>
      </c>
      <c r="AG105" s="109"/>
      <c r="AH105" s="148"/>
      <c r="AI105" s="111"/>
      <c r="AJ105" s="112"/>
      <c r="AK105" s="112"/>
      <c r="AL105" s="148"/>
      <c r="AM105" s="111"/>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3"/>
    </row>
    <row r="106" spans="1:71" ht="151.5" customHeight="1" x14ac:dyDescent="0.25">
      <c r="A106" s="212">
        <v>34</v>
      </c>
      <c r="B106" s="213" t="s">
        <v>421</v>
      </c>
      <c r="C106" s="223" t="s">
        <v>551</v>
      </c>
      <c r="D106" s="223" t="s">
        <v>422</v>
      </c>
      <c r="E106" s="217" t="s">
        <v>127</v>
      </c>
      <c r="F106" s="217" t="s">
        <v>432</v>
      </c>
      <c r="G106" s="217" t="s">
        <v>433</v>
      </c>
      <c r="H106" s="219" t="s">
        <v>431</v>
      </c>
      <c r="I106" s="217" t="s">
        <v>485</v>
      </c>
      <c r="J106" s="221">
        <v>365</v>
      </c>
      <c r="K106" s="201" t="str">
        <f>IF(J106&lt;=0,"",IF(J106&lt;=2,"Muy Baja",IF(J106&lt;=24,"Baja",IF(J106&lt;=500,"Media",IF(J106&lt;=5000,"Alta","Muy Alta")))))</f>
        <v>Media</v>
      </c>
      <c r="L106" s="204">
        <f>IF(K106="","",IF(K106="Muy Baja",0.2,IF(K106="Baja",0.4,IF(K106="Media",0.6,IF(K106="Alta",0.8,IF(K106="Muy Alta",1,))))))</f>
        <v>0.6</v>
      </c>
      <c r="M106" s="207" t="s">
        <v>147</v>
      </c>
      <c r="N106" s="149" t="str">
        <f>IF(NOT(ISERROR(MATCH(M106,'Tabla Impacto'!$B$221:$B$223,0))),'Tabla Impacto'!$F$223&amp;"Por favor no seleccionar los criterios de impacto(Afectación Económica o presupuestal y Pérdida Reputacional)",M106)</f>
        <v xml:space="preserve">     El riesgo afecta la imagen de de la entidad con efecto publicitario sostenido a nivel de sector administrativo, nivel departamental o municipal</v>
      </c>
      <c r="O106" s="201" t="str">
        <f>IF(OR(N106='Tabla Impacto'!$C$11,N106='Tabla Impacto'!$D$11),"Leve",IF(OR(N106='Tabla Impacto'!$C$12,N106='Tabla Impacto'!$D$12),"Menor",IF(OR(N106='Tabla Impacto'!$C$13,N106='Tabla Impacto'!$D$13),"Moderado",IF(OR(N106='Tabla Impacto'!$C$14,N106='Tabla Impacto'!$D$14),"Mayor",IF(OR(N106='Tabla Impacto'!$C$15,N106='Tabla Impacto'!$D$15),"Catastrófico","")))))</f>
        <v>Mayor</v>
      </c>
      <c r="P106" s="204">
        <f>IF(O106="","",IF(O106="Leve",0.2,IF(O106="Menor",0.4,IF(O106="Moderado",0.6,IF(O106="Mayor",0.8,IF(O106="Catastrófico",1,))))))</f>
        <v>0.8</v>
      </c>
      <c r="Q106" s="209" t="str">
        <f>IF(OR(AND(K106="Muy Baja",O106="Leve"),AND(K106="Muy Baja",O106="Menor"),AND(K106="Baja",O106="Leve")),"Bajo",IF(OR(AND(K106="Muy baja",O106="Moderado"),AND(K106="Baja",O106="Menor"),AND(K106="Baja",O106="Moderado"),AND(K106="Media",O106="Leve"),AND(K106="Media",O106="Menor"),AND(K106="Media",O106="Moderado"),AND(K106="Alta",O106="Leve"),AND(K106="Alta",O106="Menor")),"Moderado",IF(OR(AND(K106="Muy Baja",O106="Mayor"),AND(K106="Baja",O106="Mayor"),AND(K106="Media",O106="Mayor"),AND(K106="Alta",O106="Moderado"),AND(K106="Alta",O106="Mayor"),AND(K106="Muy Alta",O106="Leve"),AND(K106="Muy Alta",O106="Menor"),AND(K106="Muy Alta",O106="Moderado"),AND(K106="Muy Alta",O106="Mayor")),"Alto",IF(OR(AND(K106="Muy Baja",O106="Catastrófico"),AND(K106="Baja",O106="Catastrófico"),AND(K106="Media",O106="Catastrófico"),AND(K106="Alta",O106="Catastrófico"),AND(K106="Muy Alta",O106="Catastrófico")),"Extremo",""))))</f>
        <v>Alto</v>
      </c>
      <c r="R106" s="100">
        <v>1</v>
      </c>
      <c r="S106" s="101" t="s">
        <v>541</v>
      </c>
      <c r="T106" s="102" t="str">
        <f t="shared" ref="T106:T108" si="195">IF(OR(U106="Preventivo",U106="Detectivo"),"Probabilidad",IF(U106="Correctivo","Impacto",""))</f>
        <v>Probabilidad</v>
      </c>
      <c r="U106" s="103" t="s">
        <v>14</v>
      </c>
      <c r="V106" s="103" t="s">
        <v>9</v>
      </c>
      <c r="W106" s="104" t="str">
        <f t="shared" ref="W106:W108" si="196">IF(AND(U106="Preventivo",V106="Automático"),"50%",IF(AND(U106="Preventivo",V106="Manual"),"40%",IF(AND(U106="Detectivo",V106="Automático"),"40%",IF(AND(U106="Detectivo",V106="Manual"),"30%",IF(AND(U106="Correctivo",V106="Automático"),"35%",IF(AND(U106="Correctivo",V106="Manual"),"25%",""))))))</f>
        <v>40%</v>
      </c>
      <c r="X106" s="103" t="s">
        <v>19</v>
      </c>
      <c r="Y106" s="103" t="s">
        <v>22</v>
      </c>
      <c r="Z106" s="103" t="s">
        <v>113</v>
      </c>
      <c r="AA106" s="105">
        <f t="shared" ref="AA106:AA108" si="197">IFERROR(IF(T106="Probabilidad",(L106-(+L106*W106)),IF(T106="Impacto",L106,"")),"")</f>
        <v>0.36</v>
      </c>
      <c r="AB106" s="106" t="str">
        <f t="shared" ref="AB106:AB108" si="198">IFERROR(IF(AA106="","",IF(AA106&lt;=0.2,"Muy Baja",IF(AA106&lt;=0.4,"Baja",IF(AA106&lt;=0.6,"Media",IF(AA106&lt;=0.8,"Alta","Muy Alta"))))),"")</f>
        <v>Baja</v>
      </c>
      <c r="AC106" s="107">
        <f t="shared" ref="AC106:AC108" si="199">+AA106</f>
        <v>0.36</v>
      </c>
      <c r="AD106" s="106" t="str">
        <f t="shared" ref="AD106:AD108" si="200">IFERROR(IF(AE106="","",IF(AE106&lt;=0.2,"Leve",IF(AE106&lt;=0.4,"Menor",IF(AE106&lt;=0.6,"Moderado",IF(AE106&lt;=0.8,"Mayor","Catastrófico"))))),"")</f>
        <v>Mayor</v>
      </c>
      <c r="AE106" s="107">
        <f t="shared" ref="AE106:AE108" si="201">IFERROR(IF(T106="Impacto",(P106-(+P106*W106)),IF(T106="Probabilidad",P106,"")),"")</f>
        <v>0.8</v>
      </c>
      <c r="AF106" s="108" t="str">
        <f t="shared" ref="AF106:AF108" si="202">IFERROR(IF(OR(AND(AB106="Muy Baja",AD106="Leve"),AND(AB106="Muy Baja",AD106="Menor"),AND(AB106="Baja",AD106="Leve")),"Bajo",IF(OR(AND(AB106="Muy baja",AD106="Moderado"),AND(AB106="Baja",AD106="Menor"),AND(AB106="Baja",AD106="Moderado"),AND(AB106="Media",AD106="Leve"),AND(AB106="Media",AD106="Menor"),AND(AB106="Media",AD106="Moderado"),AND(AB106="Alta",AD106="Leve"),AND(AB106="Alta",AD106="Menor")),"Moderado",IF(OR(AND(AB106="Muy Baja",AD106="Mayor"),AND(AB106="Baja",AD106="Mayor"),AND(AB106="Media",AD106="Mayor"),AND(AB106="Alta",AD106="Moderado"),AND(AB106="Alta",AD106="Mayor"),AND(AB106="Muy Alta",AD106="Leve"),AND(AB106="Muy Alta",AD106="Menor"),AND(AB106="Muy Alta",AD106="Moderado"),AND(AB106="Muy Alta",AD106="Mayor")),"Alto",IF(OR(AND(AB106="Muy Baja",AD106="Catastrófico"),AND(AB106="Baja",AD106="Catastrófico"),AND(AB106="Media",AD106="Catastrófico"),AND(AB106="Alta",AD106="Catastrófico"),AND(AB106="Muy Alta",AD106="Catastrófico")),"Extremo","")))),"")</f>
        <v>Alto</v>
      </c>
      <c r="AG106" s="109" t="s">
        <v>129</v>
      </c>
      <c r="AH106" s="154" t="s">
        <v>427</v>
      </c>
      <c r="AI106" s="146" t="s">
        <v>256</v>
      </c>
      <c r="AJ106" s="147" t="s">
        <v>225</v>
      </c>
      <c r="AK106" s="147" t="s">
        <v>225</v>
      </c>
      <c r="AL106" s="154" t="s">
        <v>428</v>
      </c>
      <c r="AM106" s="111"/>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row>
    <row r="107" spans="1:71" ht="151.5" customHeight="1" x14ac:dyDescent="0.25">
      <c r="A107" s="212"/>
      <c r="B107" s="214"/>
      <c r="C107" s="227"/>
      <c r="D107" s="227"/>
      <c r="E107" s="218"/>
      <c r="F107" s="218"/>
      <c r="G107" s="218"/>
      <c r="H107" s="220"/>
      <c r="I107" s="218"/>
      <c r="J107" s="222"/>
      <c r="K107" s="202"/>
      <c r="L107" s="205"/>
      <c r="M107" s="208"/>
      <c r="N107" s="150"/>
      <c r="O107" s="202"/>
      <c r="P107" s="205"/>
      <c r="Q107" s="210"/>
      <c r="R107" s="100">
        <v>2</v>
      </c>
      <c r="S107" s="101" t="s">
        <v>529</v>
      </c>
      <c r="T107" s="102" t="str">
        <f t="shared" si="195"/>
        <v>Probabilidad</v>
      </c>
      <c r="U107" s="103" t="s">
        <v>15</v>
      </c>
      <c r="V107" s="103" t="s">
        <v>10</v>
      </c>
      <c r="W107" s="104" t="str">
        <f t="shared" si="196"/>
        <v>40%</v>
      </c>
      <c r="X107" s="103" t="s">
        <v>19</v>
      </c>
      <c r="Y107" s="103" t="s">
        <v>22</v>
      </c>
      <c r="Z107" s="103" t="s">
        <v>113</v>
      </c>
      <c r="AA107" s="105">
        <f t="shared" si="197"/>
        <v>0</v>
      </c>
      <c r="AB107" s="106" t="str">
        <f t="shared" si="198"/>
        <v>Muy Baja</v>
      </c>
      <c r="AC107" s="107">
        <f t="shared" si="199"/>
        <v>0</v>
      </c>
      <c r="AD107" s="106" t="str">
        <f t="shared" si="200"/>
        <v>Leve</v>
      </c>
      <c r="AE107" s="107">
        <f t="shared" si="201"/>
        <v>0</v>
      </c>
      <c r="AF107" s="108" t="str">
        <f t="shared" si="202"/>
        <v>Bajo</v>
      </c>
      <c r="AG107" s="109" t="s">
        <v>129</v>
      </c>
      <c r="AH107" s="155" t="s">
        <v>530</v>
      </c>
      <c r="AI107" s="146" t="s">
        <v>233</v>
      </c>
      <c r="AJ107" s="147" t="s">
        <v>225</v>
      </c>
      <c r="AK107" s="147" t="s">
        <v>225</v>
      </c>
      <c r="AL107" s="154" t="s">
        <v>434</v>
      </c>
      <c r="AM107" s="111"/>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row>
    <row r="108" spans="1:71" ht="151.5" customHeight="1" x14ac:dyDescent="0.25">
      <c r="A108" s="212"/>
      <c r="B108" s="215"/>
      <c r="C108" s="227"/>
      <c r="D108" s="227"/>
      <c r="E108" s="218"/>
      <c r="F108" s="218"/>
      <c r="G108" s="218"/>
      <c r="H108" s="220"/>
      <c r="I108" s="218"/>
      <c r="J108" s="222"/>
      <c r="K108" s="203"/>
      <c r="L108" s="206"/>
      <c r="M108" s="208"/>
      <c r="N108" s="150"/>
      <c r="O108" s="203"/>
      <c r="P108" s="206"/>
      <c r="Q108" s="211"/>
      <c r="R108" s="100">
        <v>3</v>
      </c>
      <c r="S108" s="101"/>
      <c r="T108" s="102" t="str">
        <f t="shared" si="195"/>
        <v>Probabilidad</v>
      </c>
      <c r="U108" s="103" t="s">
        <v>15</v>
      </c>
      <c r="V108" s="103" t="s">
        <v>9</v>
      </c>
      <c r="W108" s="104" t="str">
        <f t="shared" si="196"/>
        <v>30%</v>
      </c>
      <c r="X108" s="103" t="s">
        <v>20</v>
      </c>
      <c r="Y108" s="103" t="s">
        <v>23</v>
      </c>
      <c r="Z108" s="103" t="s">
        <v>114</v>
      </c>
      <c r="AA108" s="105">
        <f t="shared" si="197"/>
        <v>0</v>
      </c>
      <c r="AB108" s="106" t="str">
        <f t="shared" si="198"/>
        <v>Muy Baja</v>
      </c>
      <c r="AC108" s="107">
        <f t="shared" si="199"/>
        <v>0</v>
      </c>
      <c r="AD108" s="106" t="str">
        <f t="shared" si="200"/>
        <v>Leve</v>
      </c>
      <c r="AE108" s="107">
        <f t="shared" si="201"/>
        <v>0</v>
      </c>
      <c r="AF108" s="108" t="str">
        <f t="shared" si="202"/>
        <v>Bajo</v>
      </c>
      <c r="AG108" s="109"/>
      <c r="AH108" s="148"/>
      <c r="AI108" s="111"/>
      <c r="AJ108" s="112"/>
      <c r="AK108" s="112"/>
      <c r="AL108" s="148"/>
      <c r="AM108" s="111"/>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row>
    <row r="109" spans="1:71" ht="151.5" customHeight="1" x14ac:dyDescent="0.25">
      <c r="A109" s="212">
        <v>35</v>
      </c>
      <c r="B109" s="213" t="s">
        <v>435</v>
      </c>
      <c r="C109" s="223" t="s">
        <v>542</v>
      </c>
      <c r="D109" s="223" t="s">
        <v>436</v>
      </c>
      <c r="E109" s="217" t="s">
        <v>127</v>
      </c>
      <c r="F109" s="217" t="s">
        <v>487</v>
      </c>
      <c r="G109" s="217" t="s">
        <v>488</v>
      </c>
      <c r="H109" s="219" t="s">
        <v>489</v>
      </c>
      <c r="I109" s="217" t="s">
        <v>462</v>
      </c>
      <c r="J109" s="221">
        <v>35</v>
      </c>
      <c r="K109" s="201" t="str">
        <f>IF(J109&lt;=0,"",IF(J109&lt;=2,"Muy Baja",IF(J109&lt;=24,"Baja",IF(J109&lt;=500,"Media",IF(J109&lt;=5000,"Alta","Muy Alta")))))</f>
        <v>Media</v>
      </c>
      <c r="L109" s="204">
        <f>IF(K109="","",IF(K109="Muy Baja",0.2,IF(K109="Baja",0.4,IF(K109="Media",0.6,IF(K109="Alta",0.8,IF(K109="Muy Alta",1,))))))</f>
        <v>0.6</v>
      </c>
      <c r="M109" s="207" t="s">
        <v>145</v>
      </c>
      <c r="N109" s="149" t="str">
        <f>IF(NOT(ISERROR(MATCH(M109,'Tabla Impacto'!$B$221:$B$223,0))),'Tabla Impacto'!$F$223&amp;"Por favor no seleccionar los criterios de impacto(Afectación Económica o presupuestal y Pérdida Reputacional)",M109)</f>
        <v xml:space="preserve">     El riesgo afecta la imagen de la entidad internamente, de conocimiento general, nivel interno, de junta dircetiva y accionistas y/o de provedores</v>
      </c>
      <c r="O109" s="201" t="str">
        <f>IF(OR(N109='Tabla Impacto'!$C$11,N109='Tabla Impacto'!$D$11),"Leve",IF(OR(N109='Tabla Impacto'!$C$12,N109='Tabla Impacto'!$D$12),"Menor",IF(OR(N109='Tabla Impacto'!$C$13,N109='Tabla Impacto'!$D$13),"Moderado",IF(OR(N109='Tabla Impacto'!$C$14,N109='Tabla Impacto'!$D$14),"Mayor",IF(OR(N109='Tabla Impacto'!$C$15,N109='Tabla Impacto'!$D$15),"Catastrófico","")))))</f>
        <v>Menor</v>
      </c>
      <c r="P109" s="204">
        <f>IF(O109="","",IF(O109="Leve",0.2,IF(O109="Menor",0.4,IF(O109="Moderado",0.6,IF(O109="Mayor",0.8,IF(O109="Catastrófico",1,))))))</f>
        <v>0.4</v>
      </c>
      <c r="Q109" s="209" t="str">
        <f>IF(OR(AND(K109="Muy Baja",O109="Leve"),AND(K109="Muy Baja",O109="Menor"),AND(K109="Baja",O109="Leve")),"Bajo",IF(OR(AND(K109="Muy baja",O109="Moderado"),AND(K109="Baja",O109="Menor"),AND(K109="Baja",O109="Moderado"),AND(K109="Media",O109="Leve"),AND(K109="Media",O109="Menor"),AND(K109="Media",O109="Moderado"),AND(K109="Alta",O109="Leve"),AND(K109="Alta",O109="Menor")),"Moderado",IF(OR(AND(K109="Muy Baja",O109="Mayor"),AND(K109="Baja",O109="Mayor"),AND(K109="Media",O109="Mayor"),AND(K109="Alta",O109="Moderado"),AND(K109="Alta",O109="Mayor"),AND(K109="Muy Alta",O109="Leve"),AND(K109="Muy Alta",O109="Menor"),AND(K109="Muy Alta",O109="Moderado"),AND(K109="Muy Alta",O109="Mayor")),"Alto",IF(OR(AND(K109="Muy Baja",O109="Catastrófico"),AND(K109="Baja",O109="Catastrófico"),AND(K109="Media",O109="Catastrófico"),AND(K109="Alta",O109="Catastrófico"),AND(K109="Muy Alta",O109="Catastrófico")),"Extremo",""))))</f>
        <v>Moderado</v>
      </c>
      <c r="R109" s="100">
        <v>1</v>
      </c>
      <c r="S109" s="101" t="s">
        <v>490</v>
      </c>
      <c r="T109" s="102" t="str">
        <f t="shared" ref="T109:T120" si="203">IF(OR(U109="Preventivo",U109="Detectivo"),"Probabilidad",IF(U109="Correctivo","Impacto",""))</f>
        <v>Probabilidad</v>
      </c>
      <c r="U109" s="103" t="s">
        <v>14</v>
      </c>
      <c r="V109" s="103" t="s">
        <v>9</v>
      </c>
      <c r="W109" s="104" t="str">
        <f t="shared" ref="W109:W120" si="204">IF(AND(U109="Preventivo",V109="Automático"),"50%",IF(AND(U109="Preventivo",V109="Manual"),"40%",IF(AND(U109="Detectivo",V109="Automático"),"40%",IF(AND(U109="Detectivo",V109="Manual"),"30%",IF(AND(U109="Correctivo",V109="Automático"),"35%",IF(AND(U109="Correctivo",V109="Manual"),"25%",""))))))</f>
        <v>40%</v>
      </c>
      <c r="X109" s="103" t="s">
        <v>19</v>
      </c>
      <c r="Y109" s="103" t="s">
        <v>22</v>
      </c>
      <c r="Z109" s="103" t="s">
        <v>113</v>
      </c>
      <c r="AA109" s="105">
        <f t="shared" ref="AA109:AA120" si="205">IFERROR(IF(T109="Probabilidad",(L109-(+L109*W109)),IF(T109="Impacto",L109,"")),"")</f>
        <v>0.36</v>
      </c>
      <c r="AB109" s="106" t="str">
        <f t="shared" ref="AB109:AB120" si="206">IFERROR(IF(AA109="","",IF(AA109&lt;=0.2,"Muy Baja",IF(AA109&lt;=0.4,"Baja",IF(AA109&lt;=0.6,"Media",IF(AA109&lt;=0.8,"Alta","Muy Alta"))))),"")</f>
        <v>Baja</v>
      </c>
      <c r="AC109" s="107">
        <f t="shared" ref="AC109:AC120" si="207">+AA109</f>
        <v>0.36</v>
      </c>
      <c r="AD109" s="106" t="str">
        <f t="shared" ref="AD109:AD120" si="208">IFERROR(IF(AE109="","",IF(AE109&lt;=0.2,"Leve",IF(AE109&lt;=0.4,"Menor",IF(AE109&lt;=0.6,"Moderado",IF(AE109&lt;=0.8,"Mayor","Catastrófico"))))),"")</f>
        <v>Menor</v>
      </c>
      <c r="AE109" s="107">
        <f t="shared" ref="AE109:AE120" si="209">IFERROR(IF(T109="Impacto",(P109-(+P109*W109)),IF(T109="Probabilidad",P109,"")),"")</f>
        <v>0.4</v>
      </c>
      <c r="AF109" s="108" t="str">
        <f t="shared" ref="AF109:AF120" si="210">IFERROR(IF(OR(AND(AB109="Muy Baja",AD109="Leve"),AND(AB109="Muy Baja",AD109="Menor"),AND(AB109="Baja",AD109="Leve")),"Bajo",IF(OR(AND(AB109="Muy baja",AD109="Moderado"),AND(AB109="Baja",AD109="Menor"),AND(AB109="Baja",AD109="Moderado"),AND(AB109="Media",AD109="Leve"),AND(AB109="Media",AD109="Menor"),AND(AB109="Media",AD109="Moderado"),AND(AB109="Alta",AD109="Leve"),AND(AB109="Alta",AD109="Menor")),"Moderado",IF(OR(AND(AB109="Muy Baja",AD109="Mayor"),AND(AB109="Baja",AD109="Mayor"),AND(AB109="Media",AD109="Mayor"),AND(AB109="Alta",AD109="Moderado"),AND(AB109="Alta",AD109="Mayor"),AND(AB109="Muy Alta",AD109="Leve"),AND(AB109="Muy Alta",AD109="Menor"),AND(AB109="Muy Alta",AD109="Moderado"),AND(AB109="Muy Alta",AD109="Mayor")),"Alto",IF(OR(AND(AB109="Muy Baja",AD109="Catastrófico"),AND(AB109="Baja",AD109="Catastrófico"),AND(AB109="Media",AD109="Catastrófico"),AND(AB109="Alta",AD109="Catastrófico"),AND(AB109="Muy Alta",AD109="Catastrófico")),"Extremo","")))),"")</f>
        <v>Moderado</v>
      </c>
      <c r="AG109" s="109" t="s">
        <v>129</v>
      </c>
      <c r="AH109" s="148" t="s">
        <v>491</v>
      </c>
      <c r="AI109" s="111" t="s">
        <v>256</v>
      </c>
      <c r="AJ109" s="112">
        <v>44470</v>
      </c>
      <c r="AK109" s="112">
        <v>44561</v>
      </c>
      <c r="AL109" s="148" t="s">
        <v>552</v>
      </c>
      <c r="AM109" s="111"/>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row>
    <row r="110" spans="1:71" ht="151.5" customHeight="1" x14ac:dyDescent="0.25">
      <c r="A110" s="212"/>
      <c r="B110" s="214"/>
      <c r="C110" s="224"/>
      <c r="D110" s="227"/>
      <c r="E110" s="218"/>
      <c r="F110" s="218"/>
      <c r="G110" s="218"/>
      <c r="H110" s="220"/>
      <c r="I110" s="218"/>
      <c r="J110" s="222"/>
      <c r="K110" s="202"/>
      <c r="L110" s="205"/>
      <c r="M110" s="208"/>
      <c r="N110" s="150"/>
      <c r="O110" s="202"/>
      <c r="P110" s="205"/>
      <c r="Q110" s="210"/>
      <c r="R110" s="100">
        <v>2</v>
      </c>
      <c r="S110" s="101" t="s">
        <v>531</v>
      </c>
      <c r="T110" s="102" t="str">
        <f t="shared" si="203"/>
        <v>Probabilidad</v>
      </c>
      <c r="U110" s="103" t="s">
        <v>15</v>
      </c>
      <c r="V110" s="103" t="s">
        <v>9</v>
      </c>
      <c r="W110" s="104" t="str">
        <f t="shared" si="204"/>
        <v>30%</v>
      </c>
      <c r="X110" s="103" t="s">
        <v>19</v>
      </c>
      <c r="Y110" s="103" t="s">
        <v>22</v>
      </c>
      <c r="Z110" s="103" t="s">
        <v>113</v>
      </c>
      <c r="AA110" s="105">
        <f t="shared" si="205"/>
        <v>0</v>
      </c>
      <c r="AB110" s="106" t="str">
        <f t="shared" si="206"/>
        <v>Muy Baja</v>
      </c>
      <c r="AC110" s="107">
        <f t="shared" si="207"/>
        <v>0</v>
      </c>
      <c r="AD110" s="106" t="str">
        <f t="shared" si="208"/>
        <v>Leve</v>
      </c>
      <c r="AE110" s="107">
        <f t="shared" si="209"/>
        <v>0</v>
      </c>
      <c r="AF110" s="108" t="str">
        <f t="shared" si="210"/>
        <v>Bajo</v>
      </c>
      <c r="AG110" s="109" t="s">
        <v>129</v>
      </c>
      <c r="AH110" s="148"/>
      <c r="AI110" s="111"/>
      <c r="AJ110" s="112"/>
      <c r="AK110" s="112"/>
      <c r="AL110" s="148"/>
      <c r="AM110" s="111"/>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row>
    <row r="111" spans="1:71" ht="151.5" customHeight="1" x14ac:dyDescent="0.25">
      <c r="A111" s="212"/>
      <c r="B111" s="215"/>
      <c r="C111" s="224"/>
      <c r="D111" s="227"/>
      <c r="E111" s="218"/>
      <c r="F111" s="218"/>
      <c r="G111" s="218"/>
      <c r="H111" s="220"/>
      <c r="I111" s="218"/>
      <c r="J111" s="222"/>
      <c r="K111" s="203"/>
      <c r="L111" s="206"/>
      <c r="M111" s="208"/>
      <c r="N111" s="150"/>
      <c r="O111" s="203"/>
      <c r="P111" s="206"/>
      <c r="Q111" s="211"/>
      <c r="R111" s="100">
        <v>3</v>
      </c>
      <c r="S111" s="101"/>
      <c r="T111" s="102" t="str">
        <f t="shared" si="203"/>
        <v>Probabilidad</v>
      </c>
      <c r="U111" s="103" t="s">
        <v>15</v>
      </c>
      <c r="V111" s="103" t="s">
        <v>9</v>
      </c>
      <c r="W111" s="104" t="str">
        <f t="shared" si="204"/>
        <v>30%</v>
      </c>
      <c r="X111" s="103" t="s">
        <v>20</v>
      </c>
      <c r="Y111" s="103" t="s">
        <v>23</v>
      </c>
      <c r="Z111" s="103" t="s">
        <v>114</v>
      </c>
      <c r="AA111" s="105">
        <f t="shared" si="205"/>
        <v>0</v>
      </c>
      <c r="AB111" s="106" t="str">
        <f t="shared" si="206"/>
        <v>Muy Baja</v>
      </c>
      <c r="AC111" s="107">
        <f t="shared" si="207"/>
        <v>0</v>
      </c>
      <c r="AD111" s="106" t="str">
        <f t="shared" si="208"/>
        <v>Leve</v>
      </c>
      <c r="AE111" s="107">
        <f t="shared" si="209"/>
        <v>0</v>
      </c>
      <c r="AF111" s="108" t="str">
        <f t="shared" si="210"/>
        <v>Bajo</v>
      </c>
      <c r="AG111" s="109"/>
      <c r="AH111" s="148"/>
      <c r="AI111" s="111"/>
      <c r="AJ111" s="112"/>
      <c r="AK111" s="112"/>
      <c r="AL111" s="148"/>
      <c r="AM111" s="111"/>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23"/>
      <c r="BS111" s="23"/>
    </row>
    <row r="112" spans="1:71" ht="151.5" customHeight="1" x14ac:dyDescent="0.25">
      <c r="A112" s="212">
        <v>36</v>
      </c>
      <c r="B112" s="213" t="s">
        <v>435</v>
      </c>
      <c r="C112" s="223" t="s">
        <v>542</v>
      </c>
      <c r="D112" s="223" t="s">
        <v>436</v>
      </c>
      <c r="E112" s="217" t="s">
        <v>127</v>
      </c>
      <c r="F112" s="217" t="s">
        <v>493</v>
      </c>
      <c r="G112" s="217" t="s">
        <v>494</v>
      </c>
      <c r="H112" s="228" t="s">
        <v>492</v>
      </c>
      <c r="I112" s="217" t="s">
        <v>462</v>
      </c>
      <c r="J112" s="221">
        <v>12</v>
      </c>
      <c r="K112" s="201" t="str">
        <f>IF(J112&lt;=0,"",IF(J112&lt;=2,"Muy Baja",IF(J112&lt;=24,"Baja",IF(J112&lt;=500,"Media",IF(J112&lt;=5000,"Alta","Muy Alta")))))</f>
        <v>Baja</v>
      </c>
      <c r="L112" s="204">
        <f>IF(K112="","",IF(K112="Muy Baja",0.2,IF(K112="Baja",0.4,IF(K112="Media",0.6,IF(K112="Alta",0.8,IF(K112="Muy Alta",1,))))))</f>
        <v>0.4</v>
      </c>
      <c r="M112" s="207" t="s">
        <v>145</v>
      </c>
      <c r="N112" s="149" t="str">
        <f>IF(NOT(ISERROR(MATCH(M112,'Tabla Impacto'!$B$221:$B$223,0))),'Tabla Impacto'!$F$223&amp;"Por favor no seleccionar los criterios de impacto(Afectación Económica o presupuestal y Pérdida Reputacional)",M112)</f>
        <v xml:space="preserve">     El riesgo afecta la imagen de la entidad internamente, de conocimiento general, nivel interno, de junta dircetiva y accionistas y/o de provedores</v>
      </c>
      <c r="O112" s="201" t="str">
        <f>IF(OR(N112='Tabla Impacto'!$C$11,N112='Tabla Impacto'!$D$11),"Leve",IF(OR(N112='Tabla Impacto'!$C$12,N112='Tabla Impacto'!$D$12),"Menor",IF(OR(N112='Tabla Impacto'!$C$13,N112='Tabla Impacto'!$D$13),"Moderado",IF(OR(N112='Tabla Impacto'!$C$14,N112='Tabla Impacto'!$D$14),"Mayor",IF(OR(N112='Tabla Impacto'!$C$15,N112='Tabla Impacto'!$D$15),"Catastrófico","")))))</f>
        <v>Menor</v>
      </c>
      <c r="P112" s="204">
        <f>IF(O112="","",IF(O112="Leve",0.2,IF(O112="Menor",0.4,IF(O112="Moderado",0.6,IF(O112="Mayor",0.8,IF(O112="Catastrófico",1,))))))</f>
        <v>0.4</v>
      </c>
      <c r="Q112" s="209" t="str">
        <f>IF(OR(AND(K112="Muy Baja",O112="Leve"),AND(K112="Muy Baja",O112="Menor"),AND(K112="Baja",O112="Leve")),"Bajo",IF(OR(AND(K112="Muy baja",O112="Moderado"),AND(K112="Baja",O112="Menor"),AND(K112="Baja",O112="Moderado"),AND(K112="Media",O112="Leve"),AND(K112="Media",O112="Menor"),AND(K112="Media",O112="Moderado"),AND(K112="Alta",O112="Leve"),AND(K112="Alta",O112="Menor")),"Moderado",IF(OR(AND(K112="Muy Baja",O112="Mayor"),AND(K112="Baja",O112="Mayor"),AND(K112="Media",O112="Mayor"),AND(K112="Alta",O112="Moderado"),AND(K112="Alta",O112="Mayor"),AND(K112="Muy Alta",O112="Leve"),AND(K112="Muy Alta",O112="Menor"),AND(K112="Muy Alta",O112="Moderado"),AND(K112="Muy Alta",O112="Mayor")),"Alto",IF(OR(AND(K112="Muy Baja",O112="Catastrófico"),AND(K112="Baja",O112="Catastrófico"),AND(K112="Media",O112="Catastrófico"),AND(K112="Alta",O112="Catastrófico"),AND(K112="Muy Alta",O112="Catastrófico")),"Extremo",""))))</f>
        <v>Moderado</v>
      </c>
      <c r="R112" s="100">
        <v>1</v>
      </c>
      <c r="S112" s="101" t="s">
        <v>495</v>
      </c>
      <c r="T112" s="102" t="str">
        <f t="shared" si="203"/>
        <v>Probabilidad</v>
      </c>
      <c r="U112" s="103" t="s">
        <v>14</v>
      </c>
      <c r="V112" s="103" t="s">
        <v>9</v>
      </c>
      <c r="W112" s="104" t="str">
        <f t="shared" si="204"/>
        <v>40%</v>
      </c>
      <c r="X112" s="103" t="s">
        <v>19</v>
      </c>
      <c r="Y112" s="103" t="s">
        <v>22</v>
      </c>
      <c r="Z112" s="103" t="s">
        <v>113</v>
      </c>
      <c r="AA112" s="105">
        <f t="shared" si="205"/>
        <v>0.24</v>
      </c>
      <c r="AB112" s="106" t="str">
        <f t="shared" si="206"/>
        <v>Baja</v>
      </c>
      <c r="AC112" s="107">
        <f t="shared" si="207"/>
        <v>0.24</v>
      </c>
      <c r="AD112" s="106" t="str">
        <f t="shared" si="208"/>
        <v>Menor</v>
      </c>
      <c r="AE112" s="107">
        <f t="shared" si="209"/>
        <v>0.4</v>
      </c>
      <c r="AF112" s="108" t="str">
        <f t="shared" si="210"/>
        <v>Moderado</v>
      </c>
      <c r="AG112" s="109" t="s">
        <v>129</v>
      </c>
      <c r="AH112" s="148" t="s">
        <v>496</v>
      </c>
      <c r="AI112" s="111" t="s">
        <v>256</v>
      </c>
      <c r="AJ112" s="112">
        <v>44470</v>
      </c>
      <c r="AK112" s="112">
        <v>44561</v>
      </c>
      <c r="AL112" s="148" t="s">
        <v>497</v>
      </c>
      <c r="AM112" s="111"/>
      <c r="AN112" s="23"/>
      <c r="AO112" s="23"/>
      <c r="AP112" s="23"/>
      <c r="AQ112" s="23"/>
      <c r="AR112" s="23"/>
      <c r="AS112" s="23"/>
      <c r="AT112" s="23"/>
      <c r="AU112" s="23"/>
      <c r="AV112" s="23"/>
      <c r="AW112" s="23"/>
      <c r="AX112" s="23"/>
      <c r="AY112" s="23"/>
      <c r="AZ112" s="23"/>
      <c r="BA112" s="23"/>
      <c r="BB112" s="23"/>
      <c r="BC112" s="23"/>
      <c r="BD112" s="23"/>
      <c r="BE112" s="23"/>
      <c r="BF112" s="23"/>
      <c r="BG112" s="23"/>
      <c r="BH112" s="23"/>
      <c r="BI112" s="23"/>
      <c r="BJ112" s="23"/>
      <c r="BK112" s="23"/>
      <c r="BL112" s="23"/>
      <c r="BM112" s="23"/>
      <c r="BN112" s="23"/>
      <c r="BO112" s="23"/>
      <c r="BP112" s="23"/>
      <c r="BQ112" s="23"/>
      <c r="BR112" s="23"/>
      <c r="BS112" s="23"/>
    </row>
    <row r="113" spans="1:71" ht="151.5" customHeight="1" x14ac:dyDescent="0.25">
      <c r="A113" s="212"/>
      <c r="B113" s="214"/>
      <c r="C113" s="224"/>
      <c r="D113" s="227"/>
      <c r="E113" s="218"/>
      <c r="F113" s="218"/>
      <c r="G113" s="218"/>
      <c r="H113" s="229"/>
      <c r="I113" s="218"/>
      <c r="J113" s="222"/>
      <c r="K113" s="202"/>
      <c r="L113" s="205"/>
      <c r="M113" s="208"/>
      <c r="N113" s="150"/>
      <c r="O113" s="202"/>
      <c r="P113" s="205"/>
      <c r="Q113" s="210"/>
      <c r="R113" s="100">
        <v>2</v>
      </c>
      <c r="S113" s="101" t="s">
        <v>553</v>
      </c>
      <c r="T113" s="102" t="str">
        <f t="shared" si="203"/>
        <v>Probabilidad</v>
      </c>
      <c r="U113" s="103" t="s">
        <v>15</v>
      </c>
      <c r="V113" s="103" t="s">
        <v>9</v>
      </c>
      <c r="W113" s="104" t="str">
        <f t="shared" si="204"/>
        <v>30%</v>
      </c>
      <c r="X113" s="103" t="s">
        <v>19</v>
      </c>
      <c r="Y113" s="103" t="s">
        <v>22</v>
      </c>
      <c r="Z113" s="103" t="s">
        <v>113</v>
      </c>
      <c r="AA113" s="105">
        <f t="shared" si="205"/>
        <v>0</v>
      </c>
      <c r="AB113" s="106" t="str">
        <f t="shared" si="206"/>
        <v>Muy Baja</v>
      </c>
      <c r="AC113" s="107">
        <f t="shared" si="207"/>
        <v>0</v>
      </c>
      <c r="AD113" s="106" t="str">
        <f t="shared" si="208"/>
        <v>Leve</v>
      </c>
      <c r="AE113" s="107">
        <f t="shared" si="209"/>
        <v>0</v>
      </c>
      <c r="AF113" s="108" t="str">
        <f t="shared" si="210"/>
        <v>Bajo</v>
      </c>
      <c r="AG113" s="109" t="s">
        <v>129</v>
      </c>
      <c r="AH113" s="148"/>
      <c r="AI113" s="111"/>
      <c r="AJ113" s="112"/>
      <c r="AK113" s="112"/>
      <c r="AL113" s="148"/>
      <c r="AM113" s="111"/>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3"/>
      <c r="BO113" s="23"/>
      <c r="BP113" s="23"/>
      <c r="BQ113" s="23"/>
      <c r="BR113" s="23"/>
      <c r="BS113" s="23"/>
    </row>
    <row r="114" spans="1:71" ht="151.5" customHeight="1" x14ac:dyDescent="0.25">
      <c r="A114" s="212"/>
      <c r="B114" s="215"/>
      <c r="C114" s="224"/>
      <c r="D114" s="227"/>
      <c r="E114" s="218"/>
      <c r="F114" s="218"/>
      <c r="G114" s="218"/>
      <c r="H114" s="229"/>
      <c r="I114" s="218"/>
      <c r="J114" s="222"/>
      <c r="K114" s="203"/>
      <c r="L114" s="206"/>
      <c r="M114" s="208"/>
      <c r="N114" s="150"/>
      <c r="O114" s="203"/>
      <c r="P114" s="206"/>
      <c r="Q114" s="211"/>
      <c r="R114" s="100">
        <v>3</v>
      </c>
      <c r="S114" s="101"/>
      <c r="T114" s="102" t="str">
        <f t="shared" si="203"/>
        <v>Probabilidad</v>
      </c>
      <c r="U114" s="103" t="s">
        <v>15</v>
      </c>
      <c r="V114" s="103" t="s">
        <v>9</v>
      </c>
      <c r="W114" s="104" t="str">
        <f t="shared" si="204"/>
        <v>30%</v>
      </c>
      <c r="X114" s="103" t="s">
        <v>20</v>
      </c>
      <c r="Y114" s="103" t="s">
        <v>23</v>
      </c>
      <c r="Z114" s="103" t="s">
        <v>114</v>
      </c>
      <c r="AA114" s="105">
        <f t="shared" si="205"/>
        <v>0</v>
      </c>
      <c r="AB114" s="106" t="str">
        <f t="shared" si="206"/>
        <v>Muy Baja</v>
      </c>
      <c r="AC114" s="107">
        <f t="shared" si="207"/>
        <v>0</v>
      </c>
      <c r="AD114" s="106" t="str">
        <f t="shared" si="208"/>
        <v>Leve</v>
      </c>
      <c r="AE114" s="107">
        <f t="shared" si="209"/>
        <v>0</v>
      </c>
      <c r="AF114" s="108" t="str">
        <f t="shared" si="210"/>
        <v>Bajo</v>
      </c>
      <c r="AG114" s="109"/>
      <c r="AH114" s="148"/>
      <c r="AI114" s="111"/>
      <c r="AJ114" s="112"/>
      <c r="AK114" s="112"/>
      <c r="AL114" s="148"/>
      <c r="AM114" s="111"/>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c r="BJ114" s="23"/>
      <c r="BK114" s="23"/>
      <c r="BL114" s="23"/>
      <c r="BM114" s="23"/>
      <c r="BN114" s="23"/>
      <c r="BO114" s="23"/>
      <c r="BP114" s="23"/>
      <c r="BQ114" s="23"/>
      <c r="BR114" s="23"/>
      <c r="BS114" s="23"/>
    </row>
    <row r="115" spans="1:71" ht="151.5" customHeight="1" x14ac:dyDescent="0.25">
      <c r="A115" s="212">
        <v>37</v>
      </c>
      <c r="B115" s="213" t="s">
        <v>435</v>
      </c>
      <c r="C115" s="223" t="s">
        <v>542</v>
      </c>
      <c r="D115" s="223" t="s">
        <v>436</v>
      </c>
      <c r="E115" s="217" t="s">
        <v>127</v>
      </c>
      <c r="F115" s="217" t="s">
        <v>499</v>
      </c>
      <c r="G115" s="217" t="s">
        <v>500</v>
      </c>
      <c r="H115" s="219" t="s">
        <v>498</v>
      </c>
      <c r="I115" s="217" t="s">
        <v>119</v>
      </c>
      <c r="J115" s="221">
        <v>3000</v>
      </c>
      <c r="K115" s="201" t="str">
        <f>IF(J115&lt;=0,"",IF(J115&lt;=2,"Muy Baja",IF(J115&lt;=24,"Baja",IF(J115&lt;=500,"Media",IF(J115&lt;=5000,"Alta","Muy Alta")))))</f>
        <v>Alta</v>
      </c>
      <c r="L115" s="204">
        <f>IF(K115="","",IF(K115="Muy Baja",0.2,IF(K115="Baja",0.4,IF(K115="Media",0.6,IF(K115="Alta",0.8,IF(K115="Muy Alta",1,))))))</f>
        <v>0.8</v>
      </c>
      <c r="M115" s="207" t="s">
        <v>141</v>
      </c>
      <c r="N115" s="149" t="str">
        <f>IF(NOT(ISERROR(MATCH(M115,'Tabla Impacto'!$B$221:$B$223,0))),'Tabla Impacto'!$F$223&amp;"Por favor no seleccionar los criterios de impacto(Afectación Económica o presupuestal y Pérdida Reputacional)",M115)</f>
        <v xml:space="preserve">     Entre 10 y 50 SMLMV </v>
      </c>
      <c r="O115" s="201" t="str">
        <f>IF(OR(N115='Tabla Impacto'!$C$11,N115='Tabla Impacto'!$D$11),"Leve",IF(OR(N115='Tabla Impacto'!$C$12,N115='Tabla Impacto'!$D$12),"Menor",IF(OR(N115='Tabla Impacto'!$C$13,N115='Tabla Impacto'!$D$13),"Moderado",IF(OR(N115='Tabla Impacto'!$C$14,N115='Tabla Impacto'!$D$14),"Mayor",IF(OR(N115='Tabla Impacto'!$C$15,N115='Tabla Impacto'!$D$15),"Catastrófico","")))))</f>
        <v>Menor</v>
      </c>
      <c r="P115" s="204">
        <f>IF(O115="","",IF(O115="Leve",0.2,IF(O115="Menor",0.4,IF(O115="Moderado",0.6,IF(O115="Mayor",0.8,IF(O115="Catastrófico",1,))))))</f>
        <v>0.4</v>
      </c>
      <c r="Q115" s="209" t="str">
        <f>IF(OR(AND(K115="Muy Baja",O115="Leve"),AND(K115="Muy Baja",O115="Menor"),AND(K115="Baja",O115="Leve")),"Bajo",IF(OR(AND(K115="Muy baja",O115="Moderado"),AND(K115="Baja",O115="Menor"),AND(K115="Baja",O115="Moderado"),AND(K115="Media",O115="Leve"),AND(K115="Media",O115="Menor"),AND(K115="Media",O115="Moderado"),AND(K115="Alta",O115="Leve"),AND(K115="Alta",O115="Menor")),"Moderado",IF(OR(AND(K115="Muy Baja",O115="Mayor"),AND(K115="Baja",O115="Mayor"),AND(K115="Media",O115="Mayor"),AND(K115="Alta",O115="Moderado"),AND(K115="Alta",O115="Mayor"),AND(K115="Muy Alta",O115="Leve"),AND(K115="Muy Alta",O115="Menor"),AND(K115="Muy Alta",O115="Moderado"),AND(K115="Muy Alta",O115="Mayor")),"Alto",IF(OR(AND(K115="Muy Baja",O115="Catastrófico"),AND(K115="Baja",O115="Catastrófico"),AND(K115="Media",O115="Catastrófico"),AND(K115="Alta",O115="Catastrófico"),AND(K115="Muy Alta",O115="Catastrófico")),"Extremo",""))))</f>
        <v>Moderado</v>
      </c>
      <c r="R115" s="100">
        <v>1</v>
      </c>
      <c r="S115" s="101" t="s">
        <v>554</v>
      </c>
      <c r="T115" s="102" t="str">
        <f t="shared" si="203"/>
        <v>Probabilidad</v>
      </c>
      <c r="U115" s="103" t="s">
        <v>14</v>
      </c>
      <c r="V115" s="103" t="s">
        <v>9</v>
      </c>
      <c r="W115" s="104" t="str">
        <f t="shared" si="204"/>
        <v>40%</v>
      </c>
      <c r="X115" s="103" t="s">
        <v>19</v>
      </c>
      <c r="Y115" s="103" t="s">
        <v>22</v>
      </c>
      <c r="Z115" s="103" t="s">
        <v>113</v>
      </c>
      <c r="AA115" s="105">
        <f t="shared" si="205"/>
        <v>0.48</v>
      </c>
      <c r="AB115" s="106" t="str">
        <f t="shared" si="206"/>
        <v>Media</v>
      </c>
      <c r="AC115" s="107">
        <f t="shared" si="207"/>
        <v>0.48</v>
      </c>
      <c r="AD115" s="106" t="str">
        <f t="shared" si="208"/>
        <v>Menor</v>
      </c>
      <c r="AE115" s="107">
        <f t="shared" si="209"/>
        <v>0.4</v>
      </c>
      <c r="AF115" s="108" t="str">
        <f t="shared" si="210"/>
        <v>Moderado</v>
      </c>
      <c r="AG115" s="109" t="s">
        <v>129</v>
      </c>
      <c r="AH115" s="148" t="s">
        <v>555</v>
      </c>
      <c r="AI115" s="111" t="s">
        <v>233</v>
      </c>
      <c r="AJ115" s="112">
        <v>44469</v>
      </c>
      <c r="AK115" s="112">
        <v>44561</v>
      </c>
      <c r="AL115" s="148" t="s">
        <v>552</v>
      </c>
      <c r="AM115" s="111"/>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23"/>
      <c r="BS115" s="23"/>
    </row>
    <row r="116" spans="1:71" ht="151.5" customHeight="1" x14ac:dyDescent="0.25">
      <c r="A116" s="212"/>
      <c r="B116" s="214"/>
      <c r="C116" s="224"/>
      <c r="D116" s="227"/>
      <c r="E116" s="218"/>
      <c r="F116" s="218"/>
      <c r="G116" s="218"/>
      <c r="H116" s="220"/>
      <c r="I116" s="218"/>
      <c r="J116" s="222"/>
      <c r="K116" s="202"/>
      <c r="L116" s="205"/>
      <c r="M116" s="208"/>
      <c r="N116" s="150"/>
      <c r="O116" s="202"/>
      <c r="P116" s="205"/>
      <c r="Q116" s="210"/>
      <c r="R116" s="100">
        <v>2</v>
      </c>
      <c r="S116" s="101" t="s">
        <v>556</v>
      </c>
      <c r="T116" s="102" t="str">
        <f t="shared" si="203"/>
        <v>Probabilidad</v>
      </c>
      <c r="U116" s="103" t="s">
        <v>14</v>
      </c>
      <c r="V116" s="103" t="s">
        <v>9</v>
      </c>
      <c r="W116" s="104" t="str">
        <f t="shared" si="204"/>
        <v>40%</v>
      </c>
      <c r="X116" s="103" t="s">
        <v>19</v>
      </c>
      <c r="Y116" s="103" t="s">
        <v>22</v>
      </c>
      <c r="Z116" s="103" t="s">
        <v>113</v>
      </c>
      <c r="AA116" s="105">
        <f t="shared" si="205"/>
        <v>0</v>
      </c>
      <c r="AB116" s="106" t="str">
        <f t="shared" si="206"/>
        <v>Muy Baja</v>
      </c>
      <c r="AC116" s="107">
        <f t="shared" si="207"/>
        <v>0</v>
      </c>
      <c r="AD116" s="106" t="str">
        <f t="shared" si="208"/>
        <v>Leve</v>
      </c>
      <c r="AE116" s="107">
        <f t="shared" si="209"/>
        <v>0</v>
      </c>
      <c r="AF116" s="108" t="str">
        <f t="shared" si="210"/>
        <v>Bajo</v>
      </c>
      <c r="AG116" s="109" t="s">
        <v>129</v>
      </c>
      <c r="AH116" s="148"/>
      <c r="AI116" s="111"/>
      <c r="AJ116" s="112"/>
      <c r="AK116" s="112"/>
      <c r="AL116" s="148"/>
      <c r="AM116" s="111"/>
      <c r="AN116" s="23"/>
      <c r="AO116" s="23"/>
      <c r="AP116" s="23"/>
      <c r="AQ116" s="23"/>
      <c r="AR116" s="23"/>
      <c r="AS116" s="23"/>
      <c r="AT116" s="23"/>
      <c r="AU116" s="23"/>
      <c r="AV116" s="23"/>
      <c r="AW116" s="23"/>
      <c r="AX116" s="23"/>
      <c r="AY116" s="23"/>
      <c r="AZ116" s="23"/>
      <c r="BA116" s="23"/>
      <c r="BB116" s="23"/>
      <c r="BC116" s="23"/>
      <c r="BD116" s="23"/>
      <c r="BE116" s="23"/>
      <c r="BF116" s="23"/>
      <c r="BG116" s="23"/>
      <c r="BH116" s="23"/>
      <c r="BI116" s="23"/>
      <c r="BJ116" s="23"/>
      <c r="BK116" s="23"/>
      <c r="BL116" s="23"/>
      <c r="BM116" s="23"/>
      <c r="BN116" s="23"/>
      <c r="BO116" s="23"/>
      <c r="BP116" s="23"/>
      <c r="BQ116" s="23"/>
      <c r="BR116" s="23"/>
      <c r="BS116" s="23"/>
    </row>
    <row r="117" spans="1:71" ht="151.5" customHeight="1" x14ac:dyDescent="0.25">
      <c r="A117" s="212"/>
      <c r="B117" s="215"/>
      <c r="C117" s="224"/>
      <c r="D117" s="227"/>
      <c r="E117" s="218"/>
      <c r="F117" s="218"/>
      <c r="G117" s="218"/>
      <c r="H117" s="220"/>
      <c r="I117" s="218"/>
      <c r="J117" s="222"/>
      <c r="K117" s="203"/>
      <c r="L117" s="206"/>
      <c r="M117" s="208"/>
      <c r="N117" s="150"/>
      <c r="O117" s="203"/>
      <c r="P117" s="206"/>
      <c r="Q117" s="211"/>
      <c r="R117" s="100">
        <v>3</v>
      </c>
      <c r="S117" s="101" t="s">
        <v>557</v>
      </c>
      <c r="T117" s="102" t="str">
        <f t="shared" si="203"/>
        <v>Probabilidad</v>
      </c>
      <c r="U117" s="103" t="s">
        <v>14</v>
      </c>
      <c r="V117" s="103" t="s">
        <v>9</v>
      </c>
      <c r="W117" s="104" t="str">
        <f t="shared" si="204"/>
        <v>40%</v>
      </c>
      <c r="X117" s="103" t="s">
        <v>19</v>
      </c>
      <c r="Y117" s="103" t="s">
        <v>22</v>
      </c>
      <c r="Z117" s="103" t="s">
        <v>113</v>
      </c>
      <c r="AA117" s="105">
        <f t="shared" si="205"/>
        <v>0</v>
      </c>
      <c r="AB117" s="106" t="str">
        <f t="shared" si="206"/>
        <v>Muy Baja</v>
      </c>
      <c r="AC117" s="107">
        <f t="shared" si="207"/>
        <v>0</v>
      </c>
      <c r="AD117" s="106" t="str">
        <f t="shared" si="208"/>
        <v>Leve</v>
      </c>
      <c r="AE117" s="107">
        <f t="shared" si="209"/>
        <v>0</v>
      </c>
      <c r="AF117" s="108" t="str">
        <f t="shared" si="210"/>
        <v>Bajo</v>
      </c>
      <c r="AG117" s="109" t="s">
        <v>129</v>
      </c>
      <c r="AH117" s="148"/>
      <c r="AI117" s="111"/>
      <c r="AJ117" s="112"/>
      <c r="AK117" s="112"/>
      <c r="AL117" s="148"/>
      <c r="AM117" s="111"/>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23"/>
      <c r="BJ117" s="23"/>
      <c r="BK117" s="23"/>
      <c r="BL117" s="23"/>
      <c r="BM117" s="23"/>
      <c r="BN117" s="23"/>
      <c r="BO117" s="23"/>
      <c r="BP117" s="23"/>
      <c r="BQ117" s="23"/>
      <c r="BR117" s="23"/>
      <c r="BS117" s="23"/>
    </row>
    <row r="118" spans="1:71" ht="151.5" hidden="1" customHeight="1" x14ac:dyDescent="0.25">
      <c r="A118" s="212">
        <v>38</v>
      </c>
      <c r="B118" s="213" t="s">
        <v>486</v>
      </c>
      <c r="C118" s="226"/>
      <c r="D118" s="226"/>
      <c r="E118" s="217" t="s">
        <v>127</v>
      </c>
      <c r="F118" s="217"/>
      <c r="G118" s="217"/>
      <c r="H118" s="219"/>
      <c r="I118" s="217" t="s">
        <v>462</v>
      </c>
      <c r="J118" s="221">
        <v>50000</v>
      </c>
      <c r="K118" s="201" t="str">
        <f>IF(J118&lt;=0,"",IF(J118&lt;=2,"Muy Baja",IF(J118&lt;=24,"Baja",IF(J118&lt;=500,"Media",IF(J118&lt;=5000,"Alta","Muy Alta")))))</f>
        <v>Muy Alta</v>
      </c>
      <c r="L118" s="204">
        <f>IF(K118="","",IF(K118="Muy Baja",0.2,IF(K118="Baja",0.4,IF(K118="Media",0.6,IF(K118="Alta",0.8,IF(K118="Muy Alta",1,))))))</f>
        <v>1</v>
      </c>
      <c r="M118" s="207" t="s">
        <v>146</v>
      </c>
      <c r="N118" s="149" t="str">
        <f>IF(NOT(ISERROR(MATCH(M118,'Tabla Impacto'!$B$221:$B$223,0))),'Tabla Impacto'!$F$223&amp;"Por favor no seleccionar los criterios de impacto(Afectación Económica o presupuestal y Pérdida Reputacional)",M118)</f>
        <v xml:space="preserve">     El riesgo afecta la imagen de la entidad con algunos usuarios de relevancia frente al logro de los objetivos</v>
      </c>
      <c r="O118" s="201" t="str">
        <f>IF(OR(N118='Tabla Impacto'!$C$11,N118='Tabla Impacto'!$D$11),"Leve",IF(OR(N118='Tabla Impacto'!$C$12,N118='Tabla Impacto'!$D$12),"Menor",IF(OR(N118='Tabla Impacto'!$C$13,N118='Tabla Impacto'!$D$13),"Moderado",IF(OR(N118='Tabla Impacto'!$C$14,N118='Tabla Impacto'!$D$14),"Mayor",IF(OR(N118='Tabla Impacto'!$C$15,N118='Tabla Impacto'!$D$15),"Catastrófico","")))))</f>
        <v>Moderado</v>
      </c>
      <c r="P118" s="204">
        <f>IF(O118="","",IF(O118="Leve",0.2,IF(O118="Menor",0.4,IF(O118="Moderado",0.6,IF(O118="Mayor",0.8,IF(O118="Catastrófico",1,))))))</f>
        <v>0.6</v>
      </c>
      <c r="Q118" s="209" t="str">
        <f>IF(OR(AND(K118="Muy Baja",O118="Leve"),AND(K118="Muy Baja",O118="Menor"),AND(K118="Baja",O118="Leve")),"Bajo",IF(OR(AND(K118="Muy baja",O118="Moderado"),AND(K118="Baja",O118="Menor"),AND(K118="Baja",O118="Moderado"),AND(K118="Media",O118="Leve"),AND(K118="Media",O118="Menor"),AND(K118="Media",O118="Moderado"),AND(K118="Alta",O118="Leve"),AND(K118="Alta",O118="Menor")),"Moderado",IF(OR(AND(K118="Muy Baja",O118="Mayor"),AND(K118="Baja",O118="Mayor"),AND(K118="Media",O118="Mayor"),AND(K118="Alta",O118="Moderado"),AND(K118="Alta",O118="Mayor"),AND(K118="Muy Alta",O118="Leve"),AND(K118="Muy Alta",O118="Menor"),AND(K118="Muy Alta",O118="Moderado"),AND(K118="Muy Alta",O118="Mayor")),"Alto",IF(OR(AND(K118="Muy Baja",O118="Catastrófico"),AND(K118="Baja",O118="Catastrófico"),AND(K118="Media",O118="Catastrófico"),AND(K118="Alta",O118="Catastrófico"),AND(K118="Muy Alta",O118="Catastrófico")),"Extremo",""))))</f>
        <v>Alto</v>
      </c>
      <c r="R118" s="100">
        <v>1</v>
      </c>
      <c r="S118" s="101"/>
      <c r="T118" s="102" t="str">
        <f t="shared" si="203"/>
        <v>Probabilidad</v>
      </c>
      <c r="U118" s="103" t="s">
        <v>15</v>
      </c>
      <c r="V118" s="103" t="s">
        <v>9</v>
      </c>
      <c r="W118" s="104" t="str">
        <f t="shared" si="204"/>
        <v>30%</v>
      </c>
      <c r="X118" s="103" t="s">
        <v>20</v>
      </c>
      <c r="Y118" s="103" t="s">
        <v>23</v>
      </c>
      <c r="Z118" s="103" t="s">
        <v>114</v>
      </c>
      <c r="AA118" s="105">
        <f t="shared" si="205"/>
        <v>0.7</v>
      </c>
      <c r="AB118" s="106" t="str">
        <f t="shared" si="206"/>
        <v>Alta</v>
      </c>
      <c r="AC118" s="107">
        <f t="shared" si="207"/>
        <v>0.7</v>
      </c>
      <c r="AD118" s="106" t="str">
        <f t="shared" si="208"/>
        <v>Moderado</v>
      </c>
      <c r="AE118" s="107">
        <f t="shared" si="209"/>
        <v>0.6</v>
      </c>
      <c r="AF118" s="108" t="str">
        <f t="shared" si="210"/>
        <v>Alto</v>
      </c>
      <c r="AG118" s="109"/>
      <c r="AH118" s="148"/>
      <c r="AI118" s="111"/>
      <c r="AJ118" s="112"/>
      <c r="AK118" s="112"/>
      <c r="AL118" s="148"/>
      <c r="AM118" s="111"/>
      <c r="AN118" s="23"/>
      <c r="AO118" s="23"/>
      <c r="AP118" s="23"/>
      <c r="AQ118" s="23"/>
      <c r="AR118" s="23"/>
      <c r="AS118" s="23"/>
      <c r="AT118" s="23"/>
      <c r="AU118" s="23"/>
      <c r="AV118" s="23"/>
      <c r="AW118" s="23"/>
      <c r="AX118" s="23"/>
      <c r="AY118" s="23"/>
      <c r="AZ118" s="23"/>
      <c r="BA118" s="23"/>
      <c r="BB118" s="23"/>
      <c r="BC118" s="23"/>
      <c r="BD118" s="23"/>
      <c r="BE118" s="23"/>
      <c r="BF118" s="23"/>
      <c r="BG118" s="23"/>
      <c r="BH118" s="23"/>
      <c r="BI118" s="23"/>
      <c r="BJ118" s="23"/>
      <c r="BK118" s="23"/>
      <c r="BL118" s="23"/>
      <c r="BM118" s="23"/>
      <c r="BN118" s="23"/>
      <c r="BO118" s="23"/>
      <c r="BP118" s="23"/>
      <c r="BQ118" s="23"/>
      <c r="BR118" s="23"/>
      <c r="BS118" s="23"/>
    </row>
    <row r="119" spans="1:71" ht="151.5" hidden="1" customHeight="1" x14ac:dyDescent="0.25">
      <c r="A119" s="212"/>
      <c r="B119" s="214"/>
      <c r="C119" s="227"/>
      <c r="D119" s="227"/>
      <c r="E119" s="218"/>
      <c r="F119" s="218"/>
      <c r="G119" s="218"/>
      <c r="H119" s="220"/>
      <c r="I119" s="218"/>
      <c r="J119" s="222"/>
      <c r="K119" s="202"/>
      <c r="L119" s="205"/>
      <c r="M119" s="208"/>
      <c r="N119" s="150"/>
      <c r="O119" s="202"/>
      <c r="P119" s="205"/>
      <c r="Q119" s="210"/>
      <c r="R119" s="100">
        <v>2</v>
      </c>
      <c r="S119" s="101"/>
      <c r="T119" s="102" t="str">
        <f t="shared" si="203"/>
        <v>Probabilidad</v>
      </c>
      <c r="U119" s="103" t="s">
        <v>15</v>
      </c>
      <c r="V119" s="103" t="s">
        <v>9</v>
      </c>
      <c r="W119" s="104" t="str">
        <f t="shared" si="204"/>
        <v>30%</v>
      </c>
      <c r="X119" s="103" t="s">
        <v>20</v>
      </c>
      <c r="Y119" s="103" t="s">
        <v>23</v>
      </c>
      <c r="Z119" s="103" t="s">
        <v>114</v>
      </c>
      <c r="AA119" s="105">
        <f t="shared" si="205"/>
        <v>0</v>
      </c>
      <c r="AB119" s="106" t="str">
        <f t="shared" si="206"/>
        <v>Muy Baja</v>
      </c>
      <c r="AC119" s="107">
        <f t="shared" si="207"/>
        <v>0</v>
      </c>
      <c r="AD119" s="106" t="str">
        <f t="shared" si="208"/>
        <v>Leve</v>
      </c>
      <c r="AE119" s="107">
        <f t="shared" si="209"/>
        <v>0</v>
      </c>
      <c r="AF119" s="108" t="str">
        <f t="shared" si="210"/>
        <v>Bajo</v>
      </c>
      <c r="AG119" s="109"/>
      <c r="AH119" s="148"/>
      <c r="AI119" s="111"/>
      <c r="AJ119" s="112"/>
      <c r="AK119" s="112"/>
      <c r="AL119" s="148"/>
      <c r="AM119" s="111"/>
      <c r="AN119" s="23"/>
      <c r="AO119" s="23"/>
      <c r="AP119" s="23"/>
      <c r="AQ119" s="23"/>
      <c r="AR119" s="23"/>
      <c r="AS119" s="23"/>
      <c r="AT119" s="23"/>
      <c r="AU119" s="23"/>
      <c r="AV119" s="23"/>
      <c r="AW119" s="23"/>
      <c r="AX119" s="23"/>
      <c r="AY119" s="23"/>
      <c r="AZ119" s="23"/>
      <c r="BA119" s="23"/>
      <c r="BB119" s="23"/>
      <c r="BC119" s="23"/>
      <c r="BD119" s="23"/>
      <c r="BE119" s="23"/>
      <c r="BF119" s="23"/>
      <c r="BG119" s="23"/>
      <c r="BH119" s="23"/>
      <c r="BI119" s="23"/>
      <c r="BJ119" s="23"/>
      <c r="BK119" s="23"/>
      <c r="BL119" s="23"/>
      <c r="BM119" s="23"/>
      <c r="BN119" s="23"/>
      <c r="BO119" s="23"/>
      <c r="BP119" s="23"/>
      <c r="BQ119" s="23"/>
      <c r="BR119" s="23"/>
      <c r="BS119" s="23"/>
    </row>
    <row r="120" spans="1:71" ht="151.5" hidden="1" customHeight="1" x14ac:dyDescent="0.25">
      <c r="A120" s="212"/>
      <c r="B120" s="215"/>
      <c r="C120" s="227"/>
      <c r="D120" s="227"/>
      <c r="E120" s="218"/>
      <c r="F120" s="218"/>
      <c r="G120" s="218"/>
      <c r="H120" s="220"/>
      <c r="I120" s="218"/>
      <c r="J120" s="222"/>
      <c r="K120" s="203"/>
      <c r="L120" s="206"/>
      <c r="M120" s="208"/>
      <c r="N120" s="150"/>
      <c r="O120" s="203"/>
      <c r="P120" s="206"/>
      <c r="Q120" s="211"/>
      <c r="R120" s="100">
        <v>3</v>
      </c>
      <c r="S120" s="101"/>
      <c r="T120" s="102" t="str">
        <f t="shared" si="203"/>
        <v>Probabilidad</v>
      </c>
      <c r="U120" s="103" t="s">
        <v>15</v>
      </c>
      <c r="V120" s="103" t="s">
        <v>9</v>
      </c>
      <c r="W120" s="104" t="str">
        <f t="shared" si="204"/>
        <v>30%</v>
      </c>
      <c r="X120" s="103" t="s">
        <v>20</v>
      </c>
      <c r="Y120" s="103" t="s">
        <v>23</v>
      </c>
      <c r="Z120" s="103" t="s">
        <v>114</v>
      </c>
      <c r="AA120" s="105">
        <f t="shared" si="205"/>
        <v>0</v>
      </c>
      <c r="AB120" s="106" t="str">
        <f t="shared" si="206"/>
        <v>Muy Baja</v>
      </c>
      <c r="AC120" s="107">
        <f t="shared" si="207"/>
        <v>0</v>
      </c>
      <c r="AD120" s="106" t="str">
        <f t="shared" si="208"/>
        <v>Leve</v>
      </c>
      <c r="AE120" s="107">
        <f t="shared" si="209"/>
        <v>0</v>
      </c>
      <c r="AF120" s="108" t="str">
        <f t="shared" si="210"/>
        <v>Bajo</v>
      </c>
      <c r="AG120" s="109"/>
      <c r="AH120" s="148"/>
      <c r="AI120" s="111"/>
      <c r="AJ120" s="112"/>
      <c r="AK120" s="112"/>
      <c r="AL120" s="148"/>
      <c r="AM120" s="111"/>
      <c r="AN120" s="23"/>
      <c r="AO120" s="23"/>
      <c r="AP120" s="23"/>
      <c r="AQ120" s="23"/>
      <c r="AR120" s="23"/>
      <c r="AS120" s="23"/>
      <c r="AT120" s="23"/>
      <c r="AU120" s="23"/>
      <c r="AV120" s="23"/>
      <c r="AW120" s="23"/>
      <c r="AX120" s="23"/>
      <c r="AY120" s="23"/>
      <c r="AZ120" s="23"/>
      <c r="BA120" s="23"/>
      <c r="BB120" s="23"/>
      <c r="BC120" s="23"/>
      <c r="BD120" s="23"/>
      <c r="BE120" s="23"/>
      <c r="BF120" s="23"/>
      <c r="BG120" s="23"/>
      <c r="BH120" s="23"/>
      <c r="BI120" s="23"/>
      <c r="BJ120" s="23"/>
      <c r="BK120" s="23"/>
      <c r="BL120" s="23"/>
      <c r="BM120" s="23"/>
      <c r="BN120" s="23"/>
      <c r="BO120" s="23"/>
      <c r="BP120" s="23"/>
      <c r="BQ120" s="23"/>
      <c r="BR120" s="23"/>
      <c r="BS120" s="23"/>
    </row>
    <row r="121" spans="1:71" ht="151.5" hidden="1" customHeight="1" x14ac:dyDescent="0.25">
      <c r="A121" s="212">
        <v>39</v>
      </c>
      <c r="B121" s="213" t="s">
        <v>486</v>
      </c>
      <c r="C121" s="226"/>
      <c r="D121" s="226"/>
      <c r="E121" s="217" t="s">
        <v>127</v>
      </c>
      <c r="F121" s="217"/>
      <c r="G121" s="217"/>
      <c r="H121" s="219" t="s">
        <v>205</v>
      </c>
      <c r="I121" s="217" t="s">
        <v>462</v>
      </c>
      <c r="J121" s="221">
        <v>50000</v>
      </c>
      <c r="K121" s="201" t="str">
        <f>IF(J121&lt;=0,"",IF(J121&lt;=2,"Muy Baja",IF(J121&lt;=24,"Baja",IF(J121&lt;=500,"Media",IF(J121&lt;=5000,"Alta","Muy Alta")))))</f>
        <v>Muy Alta</v>
      </c>
      <c r="L121" s="204">
        <f>IF(K121="","",IF(K121="Muy Baja",0.2,IF(K121="Baja",0.4,IF(K121="Media",0.6,IF(K121="Alta",0.8,IF(K121="Muy Alta",1,))))))</f>
        <v>1</v>
      </c>
      <c r="M121" s="207" t="s">
        <v>146</v>
      </c>
      <c r="N121" s="149" t="str">
        <f>IF(NOT(ISERROR(MATCH(M121,'Tabla Impacto'!$B$221:$B$223,0))),'Tabla Impacto'!$F$223&amp;"Por favor no seleccionar los criterios de impacto(Afectación Económica o presupuestal y Pérdida Reputacional)",M121)</f>
        <v xml:space="preserve">     El riesgo afecta la imagen de la entidad con algunos usuarios de relevancia frente al logro de los objetivos</v>
      </c>
      <c r="O121" s="201" t="str">
        <f>IF(OR(N121='Tabla Impacto'!$C$11,N121='Tabla Impacto'!$D$11),"Leve",IF(OR(N121='Tabla Impacto'!$C$12,N121='Tabla Impacto'!$D$12),"Menor",IF(OR(N121='Tabla Impacto'!$C$13,N121='Tabla Impacto'!$D$13),"Moderado",IF(OR(N121='Tabla Impacto'!$C$14,N121='Tabla Impacto'!$D$14),"Mayor",IF(OR(N121='Tabla Impacto'!$C$15,N121='Tabla Impacto'!$D$15),"Catastrófico","")))))</f>
        <v>Moderado</v>
      </c>
      <c r="P121" s="204">
        <f>IF(O121="","",IF(O121="Leve",0.2,IF(O121="Menor",0.4,IF(O121="Moderado",0.6,IF(O121="Mayor",0.8,IF(O121="Catastrófico",1,))))))</f>
        <v>0.6</v>
      </c>
      <c r="Q121" s="209" t="str">
        <f>IF(OR(AND(K121="Muy Baja",O121="Leve"),AND(K121="Muy Baja",O121="Menor"),AND(K121="Baja",O121="Leve")),"Bajo",IF(OR(AND(K121="Muy baja",O121="Moderado"),AND(K121="Baja",O121="Menor"),AND(K121="Baja",O121="Moderado"),AND(K121="Media",O121="Leve"),AND(K121="Media",O121="Menor"),AND(K121="Media",O121="Moderado"),AND(K121="Alta",O121="Leve"),AND(K121="Alta",O121="Menor")),"Moderado",IF(OR(AND(K121="Muy Baja",O121="Mayor"),AND(K121="Baja",O121="Mayor"),AND(K121="Media",O121="Mayor"),AND(K121="Alta",O121="Moderado"),AND(K121="Alta",O121="Mayor"),AND(K121="Muy Alta",O121="Leve"),AND(K121="Muy Alta",O121="Menor"),AND(K121="Muy Alta",O121="Moderado"),AND(K121="Muy Alta",O121="Mayor")),"Alto",IF(OR(AND(K121="Muy Baja",O121="Catastrófico"),AND(K121="Baja",O121="Catastrófico"),AND(K121="Media",O121="Catastrófico"),AND(K121="Alta",O121="Catastrófico"),AND(K121="Muy Alta",O121="Catastrófico")),"Extremo",""))))</f>
        <v>Alto</v>
      </c>
      <c r="R121" s="100">
        <v>1</v>
      </c>
      <c r="S121" s="101"/>
      <c r="T121" s="102" t="str">
        <f t="shared" ref="T121:T153" si="211">IF(OR(U121="Preventivo",U121="Detectivo"),"Probabilidad",IF(U121="Correctivo","Impacto",""))</f>
        <v>Probabilidad</v>
      </c>
      <c r="U121" s="103" t="s">
        <v>15</v>
      </c>
      <c r="V121" s="103" t="s">
        <v>9</v>
      </c>
      <c r="W121" s="104" t="str">
        <f t="shared" ref="W121:W153" si="212">IF(AND(U121="Preventivo",V121="Automático"),"50%",IF(AND(U121="Preventivo",V121="Manual"),"40%",IF(AND(U121="Detectivo",V121="Automático"),"40%",IF(AND(U121="Detectivo",V121="Manual"),"30%",IF(AND(U121="Correctivo",V121="Automático"),"35%",IF(AND(U121="Correctivo",V121="Manual"),"25%",""))))))</f>
        <v>30%</v>
      </c>
      <c r="X121" s="103" t="s">
        <v>20</v>
      </c>
      <c r="Y121" s="103" t="s">
        <v>23</v>
      </c>
      <c r="Z121" s="103" t="s">
        <v>114</v>
      </c>
      <c r="AA121" s="105">
        <f t="shared" ref="AA121:AA153" si="213">IFERROR(IF(T121="Probabilidad",(L121-(+L121*W121)),IF(T121="Impacto",L121,"")),"")</f>
        <v>0.7</v>
      </c>
      <c r="AB121" s="106" t="str">
        <f t="shared" ref="AB121:AB153" si="214">IFERROR(IF(AA121="","",IF(AA121&lt;=0.2,"Muy Baja",IF(AA121&lt;=0.4,"Baja",IF(AA121&lt;=0.6,"Media",IF(AA121&lt;=0.8,"Alta","Muy Alta"))))),"")</f>
        <v>Alta</v>
      </c>
      <c r="AC121" s="107">
        <f t="shared" ref="AC121:AC153" si="215">+AA121</f>
        <v>0.7</v>
      </c>
      <c r="AD121" s="106" t="str">
        <f t="shared" ref="AD121:AD153" si="216">IFERROR(IF(AE121="","",IF(AE121&lt;=0.2,"Leve",IF(AE121&lt;=0.4,"Menor",IF(AE121&lt;=0.6,"Moderado",IF(AE121&lt;=0.8,"Mayor","Catastrófico"))))),"")</f>
        <v>Moderado</v>
      </c>
      <c r="AE121" s="107">
        <f t="shared" ref="AE121:AE153" si="217">IFERROR(IF(T121="Impacto",(P121-(+P121*W121)),IF(T121="Probabilidad",P121,"")),"")</f>
        <v>0.6</v>
      </c>
      <c r="AF121" s="108" t="str">
        <f t="shared" ref="AF121:AF153" si="218">IFERROR(IF(OR(AND(AB121="Muy Baja",AD121="Leve"),AND(AB121="Muy Baja",AD121="Menor"),AND(AB121="Baja",AD121="Leve")),"Bajo",IF(OR(AND(AB121="Muy baja",AD121="Moderado"),AND(AB121="Baja",AD121="Menor"),AND(AB121="Baja",AD121="Moderado"),AND(AB121="Media",AD121="Leve"),AND(AB121="Media",AD121="Menor"),AND(AB121="Media",AD121="Moderado"),AND(AB121="Alta",AD121="Leve"),AND(AB121="Alta",AD121="Menor")),"Moderado",IF(OR(AND(AB121="Muy Baja",AD121="Mayor"),AND(AB121="Baja",AD121="Mayor"),AND(AB121="Media",AD121="Mayor"),AND(AB121="Alta",AD121="Moderado"),AND(AB121="Alta",AD121="Mayor"),AND(AB121="Muy Alta",AD121="Leve"),AND(AB121="Muy Alta",AD121="Menor"),AND(AB121="Muy Alta",AD121="Moderado"),AND(AB121="Muy Alta",AD121="Mayor")),"Alto",IF(OR(AND(AB121="Muy Baja",AD121="Catastrófico"),AND(AB121="Baja",AD121="Catastrófico"),AND(AB121="Media",AD121="Catastrófico"),AND(AB121="Alta",AD121="Catastrófico"),AND(AB121="Muy Alta",AD121="Catastrófico")),"Extremo","")))),"")</f>
        <v>Alto</v>
      </c>
      <c r="AG121" s="109"/>
      <c r="AH121" s="148"/>
      <c r="AI121" s="111"/>
      <c r="AJ121" s="112"/>
      <c r="AK121" s="112"/>
      <c r="AL121" s="148"/>
      <c r="AM121" s="111"/>
      <c r="AN121" s="23"/>
      <c r="AO121" s="23"/>
      <c r="AP121" s="23"/>
      <c r="AQ121" s="23"/>
      <c r="AR121" s="23"/>
      <c r="AS121" s="23"/>
      <c r="AT121" s="23"/>
      <c r="AU121" s="23"/>
      <c r="AV121" s="23"/>
      <c r="AW121" s="23"/>
      <c r="AX121" s="23"/>
      <c r="AY121" s="23"/>
      <c r="AZ121" s="23"/>
      <c r="BA121" s="23"/>
      <c r="BB121" s="23"/>
      <c r="BC121" s="23"/>
      <c r="BD121" s="23"/>
      <c r="BE121" s="23"/>
      <c r="BF121" s="23"/>
      <c r="BG121" s="23"/>
      <c r="BH121" s="23"/>
      <c r="BI121" s="23"/>
      <c r="BJ121" s="23"/>
      <c r="BK121" s="23"/>
      <c r="BL121" s="23"/>
      <c r="BM121" s="23"/>
      <c r="BN121" s="23"/>
      <c r="BO121" s="23"/>
      <c r="BP121" s="23"/>
      <c r="BQ121" s="23"/>
      <c r="BR121" s="23"/>
      <c r="BS121" s="23"/>
    </row>
    <row r="122" spans="1:71" ht="151.5" hidden="1" customHeight="1" x14ac:dyDescent="0.25">
      <c r="A122" s="212"/>
      <c r="B122" s="214"/>
      <c r="C122" s="227"/>
      <c r="D122" s="227"/>
      <c r="E122" s="218"/>
      <c r="F122" s="218"/>
      <c r="G122" s="218"/>
      <c r="H122" s="220"/>
      <c r="I122" s="218"/>
      <c r="J122" s="222"/>
      <c r="K122" s="202"/>
      <c r="L122" s="205"/>
      <c r="M122" s="208"/>
      <c r="N122" s="150"/>
      <c r="O122" s="202"/>
      <c r="P122" s="205"/>
      <c r="Q122" s="210"/>
      <c r="R122" s="100">
        <v>2</v>
      </c>
      <c r="S122" s="101"/>
      <c r="T122" s="102" t="str">
        <f t="shared" si="211"/>
        <v>Probabilidad</v>
      </c>
      <c r="U122" s="103" t="s">
        <v>15</v>
      </c>
      <c r="V122" s="103" t="s">
        <v>9</v>
      </c>
      <c r="W122" s="104" t="str">
        <f t="shared" si="212"/>
        <v>30%</v>
      </c>
      <c r="X122" s="103" t="s">
        <v>20</v>
      </c>
      <c r="Y122" s="103" t="s">
        <v>23</v>
      </c>
      <c r="Z122" s="103" t="s">
        <v>114</v>
      </c>
      <c r="AA122" s="105">
        <f t="shared" si="213"/>
        <v>0</v>
      </c>
      <c r="AB122" s="106" t="str">
        <f t="shared" si="214"/>
        <v>Muy Baja</v>
      </c>
      <c r="AC122" s="107">
        <f t="shared" si="215"/>
        <v>0</v>
      </c>
      <c r="AD122" s="106" t="str">
        <f t="shared" si="216"/>
        <v>Leve</v>
      </c>
      <c r="AE122" s="107">
        <f t="shared" si="217"/>
        <v>0</v>
      </c>
      <c r="AF122" s="108" t="str">
        <f t="shared" si="218"/>
        <v>Bajo</v>
      </c>
      <c r="AG122" s="109"/>
      <c r="AH122" s="148"/>
      <c r="AI122" s="111"/>
      <c r="AJ122" s="112"/>
      <c r="AK122" s="112"/>
      <c r="AL122" s="148"/>
      <c r="AM122" s="111"/>
      <c r="AN122" s="23"/>
      <c r="AO122" s="23"/>
      <c r="AP122" s="23"/>
      <c r="AQ122" s="23"/>
      <c r="AR122" s="23"/>
      <c r="AS122" s="23"/>
      <c r="AT122" s="23"/>
      <c r="AU122" s="23"/>
      <c r="AV122" s="23"/>
      <c r="AW122" s="23"/>
      <c r="AX122" s="23"/>
      <c r="AY122" s="23"/>
      <c r="AZ122" s="23"/>
      <c r="BA122" s="23"/>
      <c r="BB122" s="23"/>
      <c r="BC122" s="23"/>
      <c r="BD122" s="23"/>
      <c r="BE122" s="23"/>
      <c r="BF122" s="23"/>
      <c r="BG122" s="23"/>
      <c r="BH122" s="23"/>
      <c r="BI122" s="23"/>
      <c r="BJ122" s="23"/>
      <c r="BK122" s="23"/>
      <c r="BL122" s="23"/>
      <c r="BM122" s="23"/>
      <c r="BN122" s="23"/>
      <c r="BO122" s="23"/>
      <c r="BP122" s="23"/>
      <c r="BQ122" s="23"/>
      <c r="BR122" s="23"/>
      <c r="BS122" s="23"/>
    </row>
    <row r="123" spans="1:71" ht="151.5" hidden="1" customHeight="1" x14ac:dyDescent="0.25">
      <c r="A123" s="212"/>
      <c r="B123" s="215"/>
      <c r="C123" s="227"/>
      <c r="D123" s="227"/>
      <c r="E123" s="218"/>
      <c r="F123" s="218"/>
      <c r="G123" s="218"/>
      <c r="H123" s="220"/>
      <c r="I123" s="218"/>
      <c r="J123" s="222"/>
      <c r="K123" s="203"/>
      <c r="L123" s="206"/>
      <c r="M123" s="208"/>
      <c r="N123" s="150"/>
      <c r="O123" s="203"/>
      <c r="P123" s="206"/>
      <c r="Q123" s="211"/>
      <c r="R123" s="100">
        <v>3</v>
      </c>
      <c r="S123" s="101"/>
      <c r="T123" s="102" t="str">
        <f t="shared" si="211"/>
        <v>Probabilidad</v>
      </c>
      <c r="U123" s="103" t="s">
        <v>15</v>
      </c>
      <c r="V123" s="103" t="s">
        <v>9</v>
      </c>
      <c r="W123" s="104" t="str">
        <f t="shared" si="212"/>
        <v>30%</v>
      </c>
      <c r="X123" s="103" t="s">
        <v>20</v>
      </c>
      <c r="Y123" s="103" t="s">
        <v>23</v>
      </c>
      <c r="Z123" s="103" t="s">
        <v>114</v>
      </c>
      <c r="AA123" s="105">
        <f t="shared" si="213"/>
        <v>0</v>
      </c>
      <c r="AB123" s="106" t="str">
        <f t="shared" si="214"/>
        <v>Muy Baja</v>
      </c>
      <c r="AC123" s="107">
        <f t="shared" si="215"/>
        <v>0</v>
      </c>
      <c r="AD123" s="106" t="str">
        <f t="shared" si="216"/>
        <v>Leve</v>
      </c>
      <c r="AE123" s="107">
        <f t="shared" si="217"/>
        <v>0</v>
      </c>
      <c r="AF123" s="108" t="str">
        <f t="shared" si="218"/>
        <v>Bajo</v>
      </c>
      <c r="AG123" s="109"/>
      <c r="AH123" s="148"/>
      <c r="AI123" s="111"/>
      <c r="AJ123" s="112"/>
      <c r="AK123" s="112"/>
      <c r="AL123" s="148"/>
      <c r="AM123" s="111"/>
      <c r="AN123" s="23"/>
      <c r="AO123" s="23"/>
      <c r="AP123" s="23"/>
      <c r="AQ123" s="23"/>
      <c r="AR123" s="23"/>
      <c r="AS123" s="23"/>
      <c r="AT123" s="23"/>
      <c r="AU123" s="23"/>
      <c r="AV123" s="23"/>
      <c r="AW123" s="23"/>
      <c r="AX123" s="23"/>
      <c r="AY123" s="23"/>
      <c r="AZ123" s="23"/>
      <c r="BA123" s="23"/>
      <c r="BB123" s="23"/>
      <c r="BC123" s="23"/>
      <c r="BD123" s="23"/>
      <c r="BE123" s="23"/>
      <c r="BF123" s="23"/>
      <c r="BG123" s="23"/>
      <c r="BH123" s="23"/>
      <c r="BI123" s="23"/>
      <c r="BJ123" s="23"/>
      <c r="BK123" s="23"/>
      <c r="BL123" s="23"/>
      <c r="BM123" s="23"/>
      <c r="BN123" s="23"/>
      <c r="BO123" s="23"/>
      <c r="BP123" s="23"/>
      <c r="BQ123" s="23"/>
      <c r="BR123" s="23"/>
      <c r="BS123" s="23"/>
    </row>
    <row r="124" spans="1:71" ht="151.5" hidden="1" customHeight="1" x14ac:dyDescent="0.25">
      <c r="A124" s="212">
        <v>40</v>
      </c>
      <c r="B124" s="213" t="s">
        <v>486</v>
      </c>
      <c r="C124" s="226"/>
      <c r="D124" s="226"/>
      <c r="E124" s="217" t="s">
        <v>127</v>
      </c>
      <c r="F124" s="217"/>
      <c r="G124" s="217"/>
      <c r="H124" s="219" t="s">
        <v>205</v>
      </c>
      <c r="I124" s="217" t="s">
        <v>462</v>
      </c>
      <c r="J124" s="221">
        <v>50000</v>
      </c>
      <c r="K124" s="201" t="str">
        <f>IF(J124&lt;=0,"",IF(J124&lt;=2,"Muy Baja",IF(J124&lt;=24,"Baja",IF(J124&lt;=500,"Media",IF(J124&lt;=5000,"Alta","Muy Alta")))))</f>
        <v>Muy Alta</v>
      </c>
      <c r="L124" s="204">
        <f>IF(K124="","",IF(K124="Muy Baja",0.2,IF(K124="Baja",0.4,IF(K124="Media",0.6,IF(K124="Alta",0.8,IF(K124="Muy Alta",1,))))))</f>
        <v>1</v>
      </c>
      <c r="M124" s="207" t="s">
        <v>146</v>
      </c>
      <c r="N124" s="149" t="str">
        <f>IF(NOT(ISERROR(MATCH(M124,'Tabla Impacto'!$B$221:$B$223,0))),'Tabla Impacto'!$F$223&amp;"Por favor no seleccionar los criterios de impacto(Afectación Económica o presupuestal y Pérdida Reputacional)",M124)</f>
        <v xml:space="preserve">     El riesgo afecta la imagen de la entidad con algunos usuarios de relevancia frente al logro de los objetivos</v>
      </c>
      <c r="O124" s="201" t="str">
        <f>IF(OR(N124='Tabla Impacto'!$C$11,N124='Tabla Impacto'!$D$11),"Leve",IF(OR(N124='Tabla Impacto'!$C$12,N124='Tabla Impacto'!$D$12),"Menor",IF(OR(N124='Tabla Impacto'!$C$13,N124='Tabla Impacto'!$D$13),"Moderado",IF(OR(N124='Tabla Impacto'!$C$14,N124='Tabla Impacto'!$D$14),"Mayor",IF(OR(N124='Tabla Impacto'!$C$15,N124='Tabla Impacto'!$D$15),"Catastrófico","")))))</f>
        <v>Moderado</v>
      </c>
      <c r="P124" s="204">
        <f>IF(O124="","",IF(O124="Leve",0.2,IF(O124="Menor",0.4,IF(O124="Moderado",0.6,IF(O124="Mayor",0.8,IF(O124="Catastrófico",1,))))))</f>
        <v>0.6</v>
      </c>
      <c r="Q124" s="209" t="str">
        <f>IF(OR(AND(K124="Muy Baja",O124="Leve"),AND(K124="Muy Baja",O124="Menor"),AND(K124="Baja",O124="Leve")),"Bajo",IF(OR(AND(K124="Muy baja",O124="Moderado"),AND(K124="Baja",O124="Menor"),AND(K124="Baja",O124="Moderado"),AND(K124="Media",O124="Leve"),AND(K124="Media",O124="Menor"),AND(K124="Media",O124="Moderado"),AND(K124="Alta",O124="Leve"),AND(K124="Alta",O124="Menor")),"Moderado",IF(OR(AND(K124="Muy Baja",O124="Mayor"),AND(K124="Baja",O124="Mayor"),AND(K124="Media",O124="Mayor"),AND(K124="Alta",O124="Moderado"),AND(K124="Alta",O124="Mayor"),AND(K124="Muy Alta",O124="Leve"),AND(K124="Muy Alta",O124="Menor"),AND(K124="Muy Alta",O124="Moderado"),AND(K124="Muy Alta",O124="Mayor")),"Alto",IF(OR(AND(K124="Muy Baja",O124="Catastrófico"),AND(K124="Baja",O124="Catastrófico"),AND(K124="Media",O124="Catastrófico"),AND(K124="Alta",O124="Catastrófico"),AND(K124="Muy Alta",O124="Catastrófico")),"Extremo",""))))</f>
        <v>Alto</v>
      </c>
      <c r="R124" s="100">
        <v>1</v>
      </c>
      <c r="S124" s="101"/>
      <c r="T124" s="102" t="str">
        <f t="shared" si="211"/>
        <v>Probabilidad</v>
      </c>
      <c r="U124" s="103" t="s">
        <v>15</v>
      </c>
      <c r="V124" s="103" t="s">
        <v>9</v>
      </c>
      <c r="W124" s="104" t="str">
        <f t="shared" si="212"/>
        <v>30%</v>
      </c>
      <c r="X124" s="103" t="s">
        <v>20</v>
      </c>
      <c r="Y124" s="103" t="s">
        <v>23</v>
      </c>
      <c r="Z124" s="103" t="s">
        <v>114</v>
      </c>
      <c r="AA124" s="105">
        <f t="shared" si="213"/>
        <v>0.7</v>
      </c>
      <c r="AB124" s="106" t="str">
        <f t="shared" si="214"/>
        <v>Alta</v>
      </c>
      <c r="AC124" s="107">
        <f t="shared" si="215"/>
        <v>0.7</v>
      </c>
      <c r="AD124" s="106" t="str">
        <f t="shared" si="216"/>
        <v>Moderado</v>
      </c>
      <c r="AE124" s="107">
        <f t="shared" si="217"/>
        <v>0.6</v>
      </c>
      <c r="AF124" s="108" t="str">
        <f t="shared" si="218"/>
        <v>Alto</v>
      </c>
      <c r="AG124" s="109"/>
      <c r="AH124" s="148"/>
      <c r="AI124" s="111"/>
      <c r="AJ124" s="112"/>
      <c r="AK124" s="112"/>
      <c r="AL124" s="148"/>
      <c r="AM124" s="111"/>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c r="BO124" s="23"/>
      <c r="BP124" s="23"/>
      <c r="BQ124" s="23"/>
      <c r="BR124" s="23"/>
      <c r="BS124" s="23"/>
    </row>
    <row r="125" spans="1:71" ht="151.5" hidden="1" customHeight="1" x14ac:dyDescent="0.25">
      <c r="A125" s="212"/>
      <c r="B125" s="214"/>
      <c r="C125" s="227"/>
      <c r="D125" s="227"/>
      <c r="E125" s="218"/>
      <c r="F125" s="218"/>
      <c r="G125" s="218"/>
      <c r="H125" s="220"/>
      <c r="I125" s="218"/>
      <c r="J125" s="222"/>
      <c r="K125" s="202"/>
      <c r="L125" s="205"/>
      <c r="M125" s="208"/>
      <c r="N125" s="150"/>
      <c r="O125" s="202"/>
      <c r="P125" s="205"/>
      <c r="Q125" s="210"/>
      <c r="R125" s="100">
        <v>2</v>
      </c>
      <c r="S125" s="101"/>
      <c r="T125" s="102" t="str">
        <f t="shared" si="211"/>
        <v>Probabilidad</v>
      </c>
      <c r="U125" s="103" t="s">
        <v>15</v>
      </c>
      <c r="V125" s="103" t="s">
        <v>9</v>
      </c>
      <c r="W125" s="104" t="str">
        <f t="shared" si="212"/>
        <v>30%</v>
      </c>
      <c r="X125" s="103" t="s">
        <v>20</v>
      </c>
      <c r="Y125" s="103" t="s">
        <v>23</v>
      </c>
      <c r="Z125" s="103" t="s">
        <v>114</v>
      </c>
      <c r="AA125" s="105">
        <f t="shared" si="213"/>
        <v>0</v>
      </c>
      <c r="AB125" s="106" t="str">
        <f t="shared" si="214"/>
        <v>Muy Baja</v>
      </c>
      <c r="AC125" s="107">
        <f t="shared" si="215"/>
        <v>0</v>
      </c>
      <c r="AD125" s="106" t="str">
        <f t="shared" si="216"/>
        <v>Leve</v>
      </c>
      <c r="AE125" s="107">
        <f t="shared" si="217"/>
        <v>0</v>
      </c>
      <c r="AF125" s="108" t="str">
        <f t="shared" si="218"/>
        <v>Bajo</v>
      </c>
      <c r="AG125" s="109"/>
      <c r="AH125" s="148"/>
      <c r="AI125" s="111"/>
      <c r="AJ125" s="112"/>
      <c r="AK125" s="112"/>
      <c r="AL125" s="148"/>
      <c r="AM125" s="111"/>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c r="BO125" s="23"/>
      <c r="BP125" s="23"/>
      <c r="BQ125" s="23"/>
      <c r="BR125" s="23"/>
      <c r="BS125" s="23"/>
    </row>
    <row r="126" spans="1:71" ht="151.5" hidden="1" customHeight="1" x14ac:dyDescent="0.25">
      <c r="A126" s="212"/>
      <c r="B126" s="215"/>
      <c r="C126" s="227"/>
      <c r="D126" s="227"/>
      <c r="E126" s="218"/>
      <c r="F126" s="218"/>
      <c r="G126" s="218"/>
      <c r="H126" s="220"/>
      <c r="I126" s="218"/>
      <c r="J126" s="222"/>
      <c r="K126" s="203"/>
      <c r="L126" s="206"/>
      <c r="M126" s="208"/>
      <c r="N126" s="150"/>
      <c r="O126" s="203"/>
      <c r="P126" s="206"/>
      <c r="Q126" s="211"/>
      <c r="R126" s="100">
        <v>3</v>
      </c>
      <c r="S126" s="101"/>
      <c r="T126" s="102" t="str">
        <f t="shared" si="211"/>
        <v>Probabilidad</v>
      </c>
      <c r="U126" s="103" t="s">
        <v>15</v>
      </c>
      <c r="V126" s="103" t="s">
        <v>9</v>
      </c>
      <c r="W126" s="104" t="str">
        <f t="shared" si="212"/>
        <v>30%</v>
      </c>
      <c r="X126" s="103" t="s">
        <v>20</v>
      </c>
      <c r="Y126" s="103" t="s">
        <v>23</v>
      </c>
      <c r="Z126" s="103" t="s">
        <v>114</v>
      </c>
      <c r="AA126" s="105">
        <f t="shared" si="213"/>
        <v>0</v>
      </c>
      <c r="AB126" s="106" t="str">
        <f t="shared" si="214"/>
        <v>Muy Baja</v>
      </c>
      <c r="AC126" s="107">
        <f t="shared" si="215"/>
        <v>0</v>
      </c>
      <c r="AD126" s="106" t="str">
        <f t="shared" si="216"/>
        <v>Leve</v>
      </c>
      <c r="AE126" s="107">
        <f t="shared" si="217"/>
        <v>0</v>
      </c>
      <c r="AF126" s="108" t="str">
        <f t="shared" si="218"/>
        <v>Bajo</v>
      </c>
      <c r="AG126" s="109"/>
      <c r="AH126" s="148"/>
      <c r="AI126" s="111"/>
      <c r="AJ126" s="112"/>
      <c r="AK126" s="112"/>
      <c r="AL126" s="148"/>
      <c r="AM126" s="111"/>
      <c r="AN126" s="23"/>
      <c r="AO126" s="23"/>
      <c r="AP126" s="23"/>
      <c r="AQ126" s="23"/>
      <c r="AR126" s="23"/>
      <c r="AS126" s="23"/>
      <c r="AT126" s="23"/>
      <c r="AU126" s="23"/>
      <c r="AV126" s="23"/>
      <c r="AW126" s="23"/>
      <c r="AX126" s="23"/>
      <c r="AY126" s="23"/>
      <c r="AZ126" s="23"/>
      <c r="BA126" s="23"/>
      <c r="BB126" s="23"/>
      <c r="BC126" s="23"/>
      <c r="BD126" s="23"/>
      <c r="BE126" s="23"/>
      <c r="BF126" s="23"/>
      <c r="BG126" s="23"/>
      <c r="BH126" s="23"/>
      <c r="BI126" s="23"/>
      <c r="BJ126" s="23"/>
      <c r="BK126" s="23"/>
      <c r="BL126" s="23"/>
      <c r="BM126" s="23"/>
      <c r="BN126" s="23"/>
      <c r="BO126" s="23"/>
      <c r="BP126" s="23"/>
      <c r="BQ126" s="23"/>
      <c r="BR126" s="23"/>
      <c r="BS126" s="23"/>
    </row>
    <row r="127" spans="1:71" ht="151.5" customHeight="1" x14ac:dyDescent="0.25">
      <c r="A127" s="212">
        <v>41</v>
      </c>
      <c r="B127" s="213" t="s">
        <v>437</v>
      </c>
      <c r="C127" s="223" t="s">
        <v>438</v>
      </c>
      <c r="D127" s="223" t="s">
        <v>439</v>
      </c>
      <c r="E127" s="217" t="s">
        <v>127</v>
      </c>
      <c r="F127" s="225" t="s">
        <v>440</v>
      </c>
      <c r="G127" s="217" t="s">
        <v>454</v>
      </c>
      <c r="H127" s="219" t="s">
        <v>455</v>
      </c>
      <c r="I127" s="217" t="s">
        <v>119</v>
      </c>
      <c r="J127" s="221">
        <v>53</v>
      </c>
      <c r="K127" s="201" t="str">
        <f>IF(J127&lt;=0,"",IF(J127&lt;=2,"Muy Baja",IF(J127&lt;=24,"Baja",IF(J127&lt;=500,"Media",IF(J127&lt;=5000,"Alta","Muy Alta")))))</f>
        <v>Media</v>
      </c>
      <c r="L127" s="204">
        <f>IF(K127="","",IF(K127="Muy Baja",0.2,IF(K127="Baja",0.4,IF(K127="Media",0.6,IF(K127="Alta",0.8,IF(K127="Muy Alta",1,))))))</f>
        <v>0.6</v>
      </c>
      <c r="M127" s="207" t="s">
        <v>147</v>
      </c>
      <c r="N127" s="149" t="str">
        <f>IF(NOT(ISERROR(MATCH(M127,'Tabla Impacto'!$B$221:$B$223,0))),'Tabla Impacto'!$F$223&amp;"Por favor no seleccionar los criterios de impacto(Afectación Económica o presupuestal y Pérdida Reputacional)",M127)</f>
        <v xml:space="preserve">     El riesgo afecta la imagen de de la entidad con efecto publicitario sostenido a nivel de sector administrativo, nivel departamental o municipal</v>
      </c>
      <c r="O127" s="201" t="str">
        <f>IF(OR(N127='Tabla Impacto'!$C$11,N127='Tabla Impacto'!$D$11),"Leve",IF(OR(N127='Tabla Impacto'!$C$12,N127='Tabla Impacto'!$D$12),"Menor",IF(OR(N127='Tabla Impacto'!$C$13,N127='Tabla Impacto'!$D$13),"Moderado",IF(OR(N127='Tabla Impacto'!$C$14,N127='Tabla Impacto'!$D$14),"Mayor",IF(OR(N127='Tabla Impacto'!$C$15,N127='Tabla Impacto'!$D$15),"Catastrófico","")))))</f>
        <v>Mayor</v>
      </c>
      <c r="P127" s="204">
        <f>IF(O127="","",IF(O127="Leve",0.2,IF(O127="Menor",0.4,IF(O127="Moderado",0.6,IF(O127="Mayor",0.8,IF(O127="Catastrófico",1,))))))</f>
        <v>0.8</v>
      </c>
      <c r="Q127" s="209" t="str">
        <f>IF(OR(AND(K127="Muy Baja",O127="Leve"),AND(K127="Muy Baja",O127="Menor"),AND(K127="Baja",O127="Leve")),"Bajo",IF(OR(AND(K127="Muy baja",O127="Moderado"),AND(K127="Baja",O127="Menor"),AND(K127="Baja",O127="Moderado"),AND(K127="Media",O127="Leve"),AND(K127="Media",O127="Menor"),AND(K127="Media",O127="Moderado"),AND(K127="Alta",O127="Leve"),AND(K127="Alta",O127="Menor")),"Moderado",IF(OR(AND(K127="Muy Baja",O127="Mayor"),AND(K127="Baja",O127="Mayor"),AND(K127="Media",O127="Mayor"),AND(K127="Alta",O127="Moderado"),AND(K127="Alta",O127="Mayor"),AND(K127="Muy Alta",O127="Leve"),AND(K127="Muy Alta",O127="Menor"),AND(K127="Muy Alta",O127="Moderado"),AND(K127="Muy Alta",O127="Mayor")),"Alto",IF(OR(AND(K127="Muy Baja",O127="Catastrófico"),AND(K127="Baja",O127="Catastrófico"),AND(K127="Media",O127="Catastrófico"),AND(K127="Alta",O127="Catastrófico"),AND(K127="Muy Alta",O127="Catastrófico")),"Extremo",""))))</f>
        <v>Alto</v>
      </c>
      <c r="R127" s="100">
        <v>1</v>
      </c>
      <c r="S127" s="101" t="s">
        <v>456</v>
      </c>
      <c r="T127" s="102" t="str">
        <f t="shared" si="211"/>
        <v>Probabilidad</v>
      </c>
      <c r="U127" s="103" t="s">
        <v>15</v>
      </c>
      <c r="V127" s="103" t="s">
        <v>9</v>
      </c>
      <c r="W127" s="104" t="str">
        <f t="shared" si="212"/>
        <v>30%</v>
      </c>
      <c r="X127" s="103" t="s">
        <v>19</v>
      </c>
      <c r="Y127" s="103" t="s">
        <v>22</v>
      </c>
      <c r="Z127" s="103" t="s">
        <v>113</v>
      </c>
      <c r="AA127" s="105">
        <f t="shared" si="213"/>
        <v>0.42</v>
      </c>
      <c r="AB127" s="106" t="str">
        <f t="shared" si="214"/>
        <v>Media</v>
      </c>
      <c r="AC127" s="107">
        <f t="shared" si="215"/>
        <v>0.42</v>
      </c>
      <c r="AD127" s="106" t="str">
        <f t="shared" si="216"/>
        <v>Mayor</v>
      </c>
      <c r="AE127" s="107">
        <f t="shared" si="217"/>
        <v>0.8</v>
      </c>
      <c r="AF127" s="108" t="str">
        <f t="shared" si="218"/>
        <v>Alto</v>
      </c>
      <c r="AG127" s="109" t="s">
        <v>129</v>
      </c>
      <c r="AH127" s="148" t="s">
        <v>444</v>
      </c>
      <c r="AI127" s="110" t="s">
        <v>315</v>
      </c>
      <c r="AJ127" s="134" t="s">
        <v>445</v>
      </c>
      <c r="AK127" s="134" t="s">
        <v>446</v>
      </c>
      <c r="AL127" s="148" t="s">
        <v>532</v>
      </c>
      <c r="AM127" s="111"/>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23"/>
      <c r="BS127" s="23"/>
    </row>
    <row r="128" spans="1:71" ht="151.5" customHeight="1" x14ac:dyDescent="0.25">
      <c r="A128" s="212"/>
      <c r="B128" s="214"/>
      <c r="C128" s="224"/>
      <c r="D128" s="224"/>
      <c r="E128" s="218"/>
      <c r="F128" s="218"/>
      <c r="G128" s="218"/>
      <c r="H128" s="220"/>
      <c r="I128" s="218"/>
      <c r="J128" s="222"/>
      <c r="K128" s="202"/>
      <c r="L128" s="205"/>
      <c r="M128" s="208"/>
      <c r="N128" s="150"/>
      <c r="O128" s="202"/>
      <c r="P128" s="205"/>
      <c r="Q128" s="210"/>
      <c r="R128" s="100">
        <v>2</v>
      </c>
      <c r="S128" s="101" t="s">
        <v>457</v>
      </c>
      <c r="T128" s="102" t="str">
        <f t="shared" si="211"/>
        <v>Probabilidad</v>
      </c>
      <c r="U128" s="103" t="s">
        <v>14</v>
      </c>
      <c r="V128" s="103" t="s">
        <v>9</v>
      </c>
      <c r="W128" s="104" t="str">
        <f t="shared" si="212"/>
        <v>40%</v>
      </c>
      <c r="X128" s="103" t="s">
        <v>19</v>
      </c>
      <c r="Y128" s="103" t="s">
        <v>22</v>
      </c>
      <c r="Z128" s="103" t="s">
        <v>113</v>
      </c>
      <c r="AA128" s="105">
        <f t="shared" si="213"/>
        <v>0</v>
      </c>
      <c r="AB128" s="106" t="str">
        <f t="shared" si="214"/>
        <v>Muy Baja</v>
      </c>
      <c r="AC128" s="107">
        <f t="shared" si="215"/>
        <v>0</v>
      </c>
      <c r="AD128" s="106" t="str">
        <f t="shared" si="216"/>
        <v>Leve</v>
      </c>
      <c r="AE128" s="107">
        <f t="shared" si="217"/>
        <v>0</v>
      </c>
      <c r="AF128" s="108" t="str">
        <f t="shared" si="218"/>
        <v>Bajo</v>
      </c>
      <c r="AG128" s="109" t="s">
        <v>129</v>
      </c>
      <c r="AH128" s="148"/>
      <c r="AI128" s="111"/>
      <c r="AJ128" s="112"/>
      <c r="AK128" s="112"/>
      <c r="AL128" s="148"/>
      <c r="AM128" s="111"/>
      <c r="AN128" s="23"/>
      <c r="AO128" s="23"/>
      <c r="AP128" s="23"/>
      <c r="AQ128" s="23"/>
      <c r="AR128" s="23"/>
      <c r="AS128" s="23"/>
      <c r="AT128" s="23"/>
      <c r="AU128" s="23"/>
      <c r="AV128" s="23"/>
      <c r="AW128" s="23"/>
      <c r="AX128" s="23"/>
      <c r="AY128" s="23"/>
      <c r="AZ128" s="23"/>
      <c r="BA128" s="23"/>
      <c r="BB128" s="23"/>
      <c r="BC128" s="23"/>
      <c r="BD128" s="23"/>
      <c r="BE128" s="23"/>
      <c r="BF128" s="23"/>
      <c r="BG128" s="23"/>
      <c r="BH128" s="23"/>
      <c r="BI128" s="23"/>
      <c r="BJ128" s="23"/>
      <c r="BK128" s="23"/>
      <c r="BL128" s="23"/>
      <c r="BM128" s="23"/>
      <c r="BN128" s="23"/>
      <c r="BO128" s="23"/>
      <c r="BP128" s="23"/>
      <c r="BQ128" s="23"/>
      <c r="BR128" s="23"/>
      <c r="BS128" s="23"/>
    </row>
    <row r="129" spans="1:71" ht="151.5" customHeight="1" x14ac:dyDescent="0.25">
      <c r="A129" s="212"/>
      <c r="B129" s="215"/>
      <c r="C129" s="224"/>
      <c r="D129" s="224"/>
      <c r="E129" s="218"/>
      <c r="F129" s="218"/>
      <c r="G129" s="218"/>
      <c r="H129" s="220"/>
      <c r="I129" s="218"/>
      <c r="J129" s="222"/>
      <c r="K129" s="203"/>
      <c r="L129" s="206"/>
      <c r="M129" s="208"/>
      <c r="N129" s="150"/>
      <c r="O129" s="203"/>
      <c r="P129" s="206"/>
      <c r="Q129" s="211"/>
      <c r="R129" s="100">
        <v>3</v>
      </c>
      <c r="S129" s="101" t="s">
        <v>443</v>
      </c>
      <c r="T129" s="102" t="str">
        <f t="shared" si="211"/>
        <v>Probabilidad</v>
      </c>
      <c r="U129" s="103" t="s">
        <v>14</v>
      </c>
      <c r="V129" s="103" t="s">
        <v>9</v>
      </c>
      <c r="W129" s="104" t="str">
        <f t="shared" si="212"/>
        <v>40%</v>
      </c>
      <c r="X129" s="103" t="s">
        <v>19</v>
      </c>
      <c r="Y129" s="103" t="s">
        <v>22</v>
      </c>
      <c r="Z129" s="103" t="s">
        <v>113</v>
      </c>
      <c r="AA129" s="105">
        <f t="shared" si="213"/>
        <v>0</v>
      </c>
      <c r="AB129" s="106" t="str">
        <f t="shared" si="214"/>
        <v>Muy Baja</v>
      </c>
      <c r="AC129" s="107">
        <f t="shared" si="215"/>
        <v>0</v>
      </c>
      <c r="AD129" s="106" t="str">
        <f t="shared" si="216"/>
        <v>Leve</v>
      </c>
      <c r="AE129" s="107">
        <f t="shared" si="217"/>
        <v>0</v>
      </c>
      <c r="AF129" s="108" t="str">
        <f t="shared" si="218"/>
        <v>Bajo</v>
      </c>
      <c r="AG129" s="109" t="s">
        <v>129</v>
      </c>
      <c r="AH129" s="148"/>
      <c r="AI129" s="111"/>
      <c r="AJ129" s="112"/>
      <c r="AK129" s="112"/>
      <c r="AL129" s="148"/>
      <c r="AM129" s="111"/>
      <c r="AN129" s="23"/>
      <c r="AO129" s="23"/>
      <c r="AP129" s="23"/>
      <c r="AQ129" s="23"/>
      <c r="AR129" s="23"/>
      <c r="AS129" s="23"/>
      <c r="AT129" s="23"/>
      <c r="AU129" s="23"/>
      <c r="AV129" s="23"/>
      <c r="AW129" s="23"/>
      <c r="AX129" s="23"/>
      <c r="AY129" s="23"/>
      <c r="AZ129" s="23"/>
      <c r="BA129" s="23"/>
      <c r="BB129" s="23"/>
      <c r="BC129" s="23"/>
      <c r="BD129" s="23"/>
      <c r="BE129" s="23"/>
      <c r="BF129" s="23"/>
      <c r="BG129" s="23"/>
      <c r="BH129" s="23"/>
      <c r="BI129" s="23"/>
      <c r="BJ129" s="23"/>
      <c r="BK129" s="23"/>
      <c r="BL129" s="23"/>
      <c r="BM129" s="23"/>
      <c r="BN129" s="23"/>
      <c r="BO129" s="23"/>
      <c r="BP129" s="23"/>
      <c r="BQ129" s="23"/>
      <c r="BR129" s="23"/>
      <c r="BS129" s="23"/>
    </row>
    <row r="130" spans="1:71" ht="151.5" customHeight="1" x14ac:dyDescent="0.25">
      <c r="A130" s="212">
        <v>42</v>
      </c>
      <c r="B130" s="213" t="s">
        <v>437</v>
      </c>
      <c r="C130" s="223" t="s">
        <v>438</v>
      </c>
      <c r="D130" s="223" t="s">
        <v>439</v>
      </c>
      <c r="E130" s="217" t="s">
        <v>127</v>
      </c>
      <c r="F130" s="225" t="s">
        <v>447</v>
      </c>
      <c r="G130" s="225" t="s">
        <v>533</v>
      </c>
      <c r="H130" s="219" t="s">
        <v>534</v>
      </c>
      <c r="I130" s="217" t="s">
        <v>462</v>
      </c>
      <c r="J130" s="221">
        <v>56</v>
      </c>
      <c r="K130" s="201" t="str">
        <f>IF(J130&lt;=0,"",IF(J130&lt;=2,"Muy Baja",IF(J130&lt;=24,"Baja",IF(J130&lt;=500,"Media",IF(J130&lt;=5000,"Alta","Muy Alta")))))</f>
        <v>Media</v>
      </c>
      <c r="L130" s="204">
        <f>IF(K130="","",IF(K130="Muy Baja",0.2,IF(K130="Baja",0.4,IF(K130="Media",0.6,IF(K130="Alta",0.8,IF(K130="Muy Alta",1,))))))</f>
        <v>0.6</v>
      </c>
      <c r="M130" s="207" t="s">
        <v>146</v>
      </c>
      <c r="N130" s="149" t="str">
        <f>IF(NOT(ISERROR(MATCH(M130,'Tabla Impacto'!$B$221:$B$223,0))),'Tabla Impacto'!$F$223&amp;"Por favor no seleccionar los criterios de impacto(Afectación Económica o presupuestal y Pérdida Reputacional)",M130)</f>
        <v xml:space="preserve">     El riesgo afecta la imagen de la entidad con algunos usuarios de relevancia frente al logro de los objetivos</v>
      </c>
      <c r="O130" s="201" t="str">
        <f>IF(OR(N130='Tabla Impacto'!$C$11,N130='Tabla Impacto'!$D$11),"Leve",IF(OR(N130='Tabla Impacto'!$C$12,N130='Tabla Impacto'!$D$12),"Menor",IF(OR(N130='Tabla Impacto'!$C$13,N130='Tabla Impacto'!$D$13),"Moderado",IF(OR(N130='Tabla Impacto'!$C$14,N130='Tabla Impacto'!$D$14),"Mayor",IF(OR(N130='Tabla Impacto'!$C$15,N130='Tabla Impacto'!$D$15),"Catastrófico","")))))</f>
        <v>Moderado</v>
      </c>
      <c r="P130" s="204">
        <f>IF(O130="","",IF(O130="Leve",0.2,IF(O130="Menor",0.4,IF(O130="Moderado",0.6,IF(O130="Mayor",0.8,IF(O130="Catastrófico",1,))))))</f>
        <v>0.6</v>
      </c>
      <c r="Q130" s="209" t="str">
        <f>IF(OR(AND(K130="Muy Baja",O130="Leve"),AND(K130="Muy Baja",O130="Menor"),AND(K130="Baja",O130="Leve")),"Bajo",IF(OR(AND(K130="Muy baja",O130="Moderado"),AND(K130="Baja",O130="Menor"),AND(K130="Baja",O130="Moderado"),AND(K130="Media",O130="Leve"),AND(K130="Media",O130="Menor"),AND(K130="Media",O130="Moderado"),AND(K130="Alta",O130="Leve"),AND(K130="Alta",O130="Menor")),"Moderado",IF(OR(AND(K130="Muy Baja",O130="Mayor"),AND(K130="Baja",O130="Mayor"),AND(K130="Media",O130="Mayor"),AND(K130="Alta",O130="Moderado"),AND(K130="Alta",O130="Mayor"),AND(K130="Muy Alta",O130="Leve"),AND(K130="Muy Alta",O130="Menor"),AND(K130="Muy Alta",O130="Moderado"),AND(K130="Muy Alta",O130="Mayor")),"Alto",IF(OR(AND(K130="Muy Baja",O130="Catastrófico"),AND(K130="Baja",O130="Catastrófico"),AND(K130="Media",O130="Catastrófico"),AND(K130="Alta",O130="Catastrófico"),AND(K130="Muy Alta",O130="Catastrófico")),"Extremo",""))))</f>
        <v>Moderado</v>
      </c>
      <c r="R130" s="100">
        <v>1</v>
      </c>
      <c r="S130" s="101" t="s">
        <v>441</v>
      </c>
      <c r="T130" s="102" t="str">
        <f t="shared" si="211"/>
        <v>Probabilidad</v>
      </c>
      <c r="U130" s="103" t="s">
        <v>15</v>
      </c>
      <c r="V130" s="103" t="s">
        <v>9</v>
      </c>
      <c r="W130" s="104" t="str">
        <f t="shared" si="212"/>
        <v>30%</v>
      </c>
      <c r="X130" s="103" t="s">
        <v>20</v>
      </c>
      <c r="Y130" s="103" t="s">
        <v>23</v>
      </c>
      <c r="Z130" s="103" t="s">
        <v>114</v>
      </c>
      <c r="AA130" s="105">
        <f t="shared" si="213"/>
        <v>0.42</v>
      </c>
      <c r="AB130" s="106" t="str">
        <f t="shared" si="214"/>
        <v>Media</v>
      </c>
      <c r="AC130" s="107">
        <f t="shared" si="215"/>
        <v>0.42</v>
      </c>
      <c r="AD130" s="106" t="str">
        <f t="shared" si="216"/>
        <v>Moderado</v>
      </c>
      <c r="AE130" s="107">
        <f t="shared" si="217"/>
        <v>0.6</v>
      </c>
      <c r="AF130" s="108" t="str">
        <f t="shared" si="218"/>
        <v>Moderado</v>
      </c>
      <c r="AG130" s="109" t="s">
        <v>129</v>
      </c>
      <c r="AH130" s="148" t="s">
        <v>448</v>
      </c>
      <c r="AI130" s="110"/>
      <c r="AJ130" s="134"/>
      <c r="AK130" s="134"/>
      <c r="AL130" s="148"/>
      <c r="AM130" s="111"/>
      <c r="AN130" s="23"/>
      <c r="AO130" s="23"/>
      <c r="AP130" s="23"/>
      <c r="AQ130" s="23"/>
      <c r="AR130" s="23"/>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23"/>
      <c r="BO130" s="23"/>
      <c r="BP130" s="23"/>
      <c r="BQ130" s="23"/>
      <c r="BR130" s="23"/>
      <c r="BS130" s="23"/>
    </row>
    <row r="131" spans="1:71" ht="151.5" customHeight="1" x14ac:dyDescent="0.25">
      <c r="A131" s="212"/>
      <c r="B131" s="214"/>
      <c r="C131" s="224"/>
      <c r="D131" s="224"/>
      <c r="E131" s="218"/>
      <c r="F131" s="218"/>
      <c r="G131" s="218"/>
      <c r="H131" s="220"/>
      <c r="I131" s="218"/>
      <c r="J131" s="222"/>
      <c r="K131" s="202"/>
      <c r="L131" s="205"/>
      <c r="M131" s="208"/>
      <c r="N131" s="150"/>
      <c r="O131" s="202"/>
      <c r="P131" s="205"/>
      <c r="Q131" s="210"/>
      <c r="R131" s="100">
        <v>2</v>
      </c>
      <c r="S131" s="101" t="s">
        <v>442</v>
      </c>
      <c r="T131" s="102" t="str">
        <f t="shared" si="211"/>
        <v>Probabilidad</v>
      </c>
      <c r="U131" s="103" t="s">
        <v>15</v>
      </c>
      <c r="V131" s="103" t="s">
        <v>9</v>
      </c>
      <c r="W131" s="104" t="str">
        <f t="shared" si="212"/>
        <v>30%</v>
      </c>
      <c r="X131" s="103" t="s">
        <v>20</v>
      </c>
      <c r="Y131" s="103" t="s">
        <v>23</v>
      </c>
      <c r="Z131" s="103" t="s">
        <v>114</v>
      </c>
      <c r="AA131" s="105">
        <f t="shared" si="213"/>
        <v>0</v>
      </c>
      <c r="AB131" s="106" t="str">
        <f t="shared" si="214"/>
        <v>Muy Baja</v>
      </c>
      <c r="AC131" s="107">
        <f t="shared" si="215"/>
        <v>0</v>
      </c>
      <c r="AD131" s="106" t="str">
        <f t="shared" si="216"/>
        <v>Leve</v>
      </c>
      <c r="AE131" s="107">
        <f t="shared" si="217"/>
        <v>0</v>
      </c>
      <c r="AF131" s="108" t="str">
        <f t="shared" si="218"/>
        <v>Bajo</v>
      </c>
      <c r="AG131" s="109" t="s">
        <v>129</v>
      </c>
      <c r="AH131" s="148" t="s">
        <v>449</v>
      </c>
      <c r="AI131" s="111"/>
      <c r="AJ131" s="112"/>
      <c r="AK131" s="112"/>
      <c r="AL131" s="148"/>
      <c r="AM131" s="111"/>
      <c r="AN131" s="23"/>
      <c r="AO131" s="23"/>
      <c r="AP131" s="23"/>
      <c r="AQ131" s="23"/>
      <c r="AR131" s="23"/>
      <c r="AS131" s="23"/>
      <c r="AT131" s="23"/>
      <c r="AU131" s="23"/>
      <c r="AV131" s="23"/>
      <c r="AW131" s="23"/>
      <c r="AX131" s="23"/>
      <c r="AY131" s="23"/>
      <c r="AZ131" s="23"/>
      <c r="BA131" s="23"/>
      <c r="BB131" s="23"/>
      <c r="BC131" s="23"/>
      <c r="BD131" s="23"/>
      <c r="BE131" s="23"/>
      <c r="BF131" s="23"/>
      <c r="BG131" s="23"/>
      <c r="BH131" s="23"/>
      <c r="BI131" s="23"/>
      <c r="BJ131" s="23"/>
      <c r="BK131" s="23"/>
      <c r="BL131" s="23"/>
      <c r="BM131" s="23"/>
      <c r="BN131" s="23"/>
      <c r="BO131" s="23"/>
      <c r="BP131" s="23"/>
      <c r="BQ131" s="23"/>
      <c r="BR131" s="23"/>
      <c r="BS131" s="23"/>
    </row>
    <row r="132" spans="1:71" ht="151.5" customHeight="1" x14ac:dyDescent="0.25">
      <c r="A132" s="212"/>
      <c r="B132" s="215"/>
      <c r="C132" s="224"/>
      <c r="D132" s="224"/>
      <c r="E132" s="218"/>
      <c r="F132" s="218"/>
      <c r="G132" s="218"/>
      <c r="H132" s="220"/>
      <c r="I132" s="218"/>
      <c r="J132" s="222"/>
      <c r="K132" s="203"/>
      <c r="L132" s="206"/>
      <c r="M132" s="208"/>
      <c r="N132" s="150"/>
      <c r="O132" s="203"/>
      <c r="P132" s="206"/>
      <c r="Q132" s="211"/>
      <c r="R132" s="100">
        <v>3</v>
      </c>
      <c r="S132" s="101" t="s">
        <v>443</v>
      </c>
      <c r="T132" s="102" t="str">
        <f t="shared" si="211"/>
        <v>Probabilidad</v>
      </c>
      <c r="U132" s="103" t="s">
        <v>15</v>
      </c>
      <c r="V132" s="103" t="s">
        <v>9</v>
      </c>
      <c r="W132" s="104" t="str">
        <f t="shared" si="212"/>
        <v>30%</v>
      </c>
      <c r="X132" s="103" t="s">
        <v>20</v>
      </c>
      <c r="Y132" s="103" t="s">
        <v>23</v>
      </c>
      <c r="Z132" s="103" t="s">
        <v>114</v>
      </c>
      <c r="AA132" s="105">
        <f t="shared" si="213"/>
        <v>0</v>
      </c>
      <c r="AB132" s="106" t="str">
        <f t="shared" si="214"/>
        <v>Muy Baja</v>
      </c>
      <c r="AC132" s="107">
        <f t="shared" si="215"/>
        <v>0</v>
      </c>
      <c r="AD132" s="106" t="str">
        <f t="shared" si="216"/>
        <v>Leve</v>
      </c>
      <c r="AE132" s="107">
        <f t="shared" si="217"/>
        <v>0</v>
      </c>
      <c r="AF132" s="108" t="str">
        <f t="shared" si="218"/>
        <v>Bajo</v>
      </c>
      <c r="AG132" s="109" t="s">
        <v>129</v>
      </c>
      <c r="AH132" s="148"/>
      <c r="AI132" s="111"/>
      <c r="AJ132" s="112"/>
      <c r="AK132" s="112"/>
      <c r="AL132" s="148"/>
      <c r="AM132" s="111"/>
      <c r="AN132" s="23"/>
      <c r="AO132" s="23"/>
      <c r="AP132" s="23"/>
      <c r="AQ132" s="23"/>
      <c r="AR132" s="23"/>
      <c r="AS132" s="23"/>
      <c r="AT132" s="23"/>
      <c r="AU132" s="23"/>
      <c r="AV132" s="23"/>
      <c r="AW132" s="23"/>
      <c r="AX132" s="23"/>
      <c r="AY132" s="23"/>
      <c r="AZ132" s="23"/>
      <c r="BA132" s="23"/>
      <c r="BB132" s="23"/>
      <c r="BC132" s="23"/>
      <c r="BD132" s="23"/>
      <c r="BE132" s="23"/>
      <c r="BF132" s="23"/>
      <c r="BG132" s="23"/>
      <c r="BH132" s="23"/>
      <c r="BI132" s="23"/>
      <c r="BJ132" s="23"/>
      <c r="BK132" s="23"/>
      <c r="BL132" s="23"/>
      <c r="BM132" s="23"/>
      <c r="BN132" s="23"/>
      <c r="BO132" s="23"/>
      <c r="BP132" s="23"/>
      <c r="BQ132" s="23"/>
      <c r="BR132" s="23"/>
      <c r="BS132" s="23"/>
    </row>
    <row r="133" spans="1:71" ht="151.5" customHeight="1" x14ac:dyDescent="0.25">
      <c r="A133" s="212">
        <v>43</v>
      </c>
      <c r="B133" s="213" t="s">
        <v>437</v>
      </c>
      <c r="C133" s="223" t="s">
        <v>438</v>
      </c>
      <c r="D133" s="223" t="s">
        <v>439</v>
      </c>
      <c r="E133" s="217" t="s">
        <v>127</v>
      </c>
      <c r="F133" s="217" t="s">
        <v>450</v>
      </c>
      <c r="G133" s="217" t="s">
        <v>451</v>
      </c>
      <c r="H133" s="219" t="s">
        <v>452</v>
      </c>
      <c r="I133" s="217" t="s">
        <v>119</v>
      </c>
      <c r="J133" s="221">
        <v>56</v>
      </c>
      <c r="K133" s="201" t="str">
        <f>IF(J133&lt;=0,"",IF(J133&lt;=2,"Muy Baja",IF(J133&lt;=24,"Baja",IF(J133&lt;=500,"Media",IF(J133&lt;=5000,"Alta","Muy Alta")))))</f>
        <v>Media</v>
      </c>
      <c r="L133" s="204">
        <f>IF(K133="","",IF(K133="Muy Baja",0.2,IF(K133="Baja",0.4,IF(K133="Media",0.6,IF(K133="Alta",0.8,IF(K133="Muy Alta",1,))))))</f>
        <v>0.6</v>
      </c>
      <c r="M133" s="207" t="s">
        <v>144</v>
      </c>
      <c r="N133" s="149" t="str">
        <f>IF(NOT(ISERROR(MATCH(M133,'Tabla Impacto'!$B$221:$B$223,0))),'Tabla Impacto'!$F$223&amp;"Por favor no seleccionar los criterios de impacto(Afectación Económica o presupuestal y Pérdida Reputacional)",M133)</f>
        <v xml:space="preserve">     El riesgo afecta la imagen de alguna área de la organización</v>
      </c>
      <c r="O133" s="201" t="str">
        <f>IF(OR(N133='Tabla Impacto'!$C$11,N133='Tabla Impacto'!$D$11),"Leve",IF(OR(N133='Tabla Impacto'!$C$12,N133='Tabla Impacto'!$D$12),"Menor",IF(OR(N133='Tabla Impacto'!$C$13,N133='Tabla Impacto'!$D$13),"Moderado",IF(OR(N133='Tabla Impacto'!$C$14,N133='Tabla Impacto'!$D$14),"Mayor",IF(OR(N133='Tabla Impacto'!$C$15,N133='Tabla Impacto'!$D$15),"Catastrófico","")))))</f>
        <v>Leve</v>
      </c>
      <c r="P133" s="204">
        <f>IF(O133="","",IF(O133="Leve",0.2,IF(O133="Menor",0.4,IF(O133="Moderado",0.6,IF(O133="Mayor",0.8,IF(O133="Catastrófico",1,))))))</f>
        <v>0.2</v>
      </c>
      <c r="Q133" s="209" t="str">
        <f>IF(OR(AND(K133="Muy Baja",O133="Leve"),AND(K133="Muy Baja",O133="Menor"),AND(K133="Baja",O133="Leve")),"Bajo",IF(OR(AND(K133="Muy baja",O133="Moderado"),AND(K133="Baja",O133="Menor"),AND(K133="Baja",O133="Moderado"),AND(K133="Media",O133="Leve"),AND(K133="Media",O133="Menor"),AND(K133="Media",O133="Moderado"),AND(K133="Alta",O133="Leve"),AND(K133="Alta",O133="Menor")),"Moderado",IF(OR(AND(K133="Muy Baja",O133="Mayor"),AND(K133="Baja",O133="Mayor"),AND(K133="Media",O133="Mayor"),AND(K133="Alta",O133="Moderado"),AND(K133="Alta",O133="Mayor"),AND(K133="Muy Alta",O133="Leve"),AND(K133="Muy Alta",O133="Menor"),AND(K133="Muy Alta",O133="Moderado"),AND(K133="Muy Alta",O133="Mayor")),"Alto",IF(OR(AND(K133="Muy Baja",O133="Catastrófico"),AND(K133="Baja",O133="Catastrófico"),AND(K133="Media",O133="Catastrófico"),AND(K133="Alta",O133="Catastrófico"),AND(K133="Muy Alta",O133="Catastrófico")),"Extremo",""))))</f>
        <v>Moderado</v>
      </c>
      <c r="R133" s="100">
        <v>1</v>
      </c>
      <c r="S133" s="101" t="s">
        <v>453</v>
      </c>
      <c r="T133" s="102" t="str">
        <f t="shared" si="211"/>
        <v>Probabilidad</v>
      </c>
      <c r="U133" s="103" t="s">
        <v>15</v>
      </c>
      <c r="V133" s="103" t="s">
        <v>9</v>
      </c>
      <c r="W133" s="104" t="str">
        <f t="shared" si="212"/>
        <v>30%</v>
      </c>
      <c r="X133" s="103" t="s">
        <v>20</v>
      </c>
      <c r="Y133" s="103" t="s">
        <v>23</v>
      </c>
      <c r="Z133" s="103" t="s">
        <v>114</v>
      </c>
      <c r="AA133" s="105">
        <f t="shared" si="213"/>
        <v>0.42</v>
      </c>
      <c r="AB133" s="106" t="str">
        <f t="shared" si="214"/>
        <v>Media</v>
      </c>
      <c r="AC133" s="107">
        <f t="shared" si="215"/>
        <v>0.42</v>
      </c>
      <c r="AD133" s="106" t="str">
        <f t="shared" si="216"/>
        <v>Leve</v>
      </c>
      <c r="AE133" s="107">
        <f t="shared" si="217"/>
        <v>0.2</v>
      </c>
      <c r="AF133" s="108" t="str">
        <f t="shared" si="218"/>
        <v>Moderado</v>
      </c>
      <c r="AG133" s="109" t="s">
        <v>129</v>
      </c>
      <c r="AH133" s="148" t="s">
        <v>458</v>
      </c>
      <c r="AI133" s="111"/>
      <c r="AJ133" s="112"/>
      <c r="AK133" s="112"/>
      <c r="AL133" s="148"/>
      <c r="AM133" s="111"/>
      <c r="AN133" s="23"/>
      <c r="AO133" s="23"/>
      <c r="AP133" s="23"/>
      <c r="AQ133" s="23"/>
      <c r="AR133" s="23"/>
      <c r="AS133" s="23"/>
      <c r="AT133" s="23"/>
      <c r="AU133" s="23"/>
      <c r="AV133" s="23"/>
      <c r="AW133" s="23"/>
      <c r="AX133" s="23"/>
      <c r="AY133" s="23"/>
      <c r="AZ133" s="23"/>
      <c r="BA133" s="23"/>
      <c r="BB133" s="23"/>
      <c r="BC133" s="23"/>
      <c r="BD133" s="23"/>
      <c r="BE133" s="23"/>
      <c r="BF133" s="23"/>
      <c r="BG133" s="23"/>
      <c r="BH133" s="23"/>
      <c r="BI133" s="23"/>
      <c r="BJ133" s="23"/>
      <c r="BK133" s="23"/>
      <c r="BL133" s="23"/>
      <c r="BM133" s="23"/>
      <c r="BN133" s="23"/>
      <c r="BO133" s="23"/>
      <c r="BP133" s="23"/>
      <c r="BQ133" s="23"/>
      <c r="BR133" s="23"/>
      <c r="BS133" s="23"/>
    </row>
    <row r="134" spans="1:71" ht="151.5" customHeight="1" x14ac:dyDescent="0.25">
      <c r="A134" s="212"/>
      <c r="B134" s="214"/>
      <c r="C134" s="224"/>
      <c r="D134" s="224"/>
      <c r="E134" s="218"/>
      <c r="F134" s="218"/>
      <c r="G134" s="218"/>
      <c r="H134" s="220"/>
      <c r="I134" s="218"/>
      <c r="J134" s="222"/>
      <c r="K134" s="202"/>
      <c r="L134" s="205"/>
      <c r="M134" s="208"/>
      <c r="N134" s="150"/>
      <c r="O134" s="202"/>
      <c r="P134" s="205"/>
      <c r="Q134" s="210"/>
      <c r="R134" s="100">
        <v>2</v>
      </c>
      <c r="S134" s="101"/>
      <c r="T134" s="102" t="str">
        <f t="shared" si="211"/>
        <v>Probabilidad</v>
      </c>
      <c r="U134" s="103" t="s">
        <v>15</v>
      </c>
      <c r="V134" s="103" t="s">
        <v>9</v>
      </c>
      <c r="W134" s="104" t="str">
        <f t="shared" si="212"/>
        <v>30%</v>
      </c>
      <c r="X134" s="103" t="s">
        <v>20</v>
      </c>
      <c r="Y134" s="103" t="s">
        <v>23</v>
      </c>
      <c r="Z134" s="103" t="s">
        <v>114</v>
      </c>
      <c r="AA134" s="105">
        <f t="shared" si="213"/>
        <v>0</v>
      </c>
      <c r="AB134" s="106" t="str">
        <f t="shared" si="214"/>
        <v>Muy Baja</v>
      </c>
      <c r="AC134" s="107">
        <f t="shared" si="215"/>
        <v>0</v>
      </c>
      <c r="AD134" s="106" t="str">
        <f t="shared" si="216"/>
        <v>Leve</v>
      </c>
      <c r="AE134" s="107">
        <f t="shared" si="217"/>
        <v>0</v>
      </c>
      <c r="AF134" s="108" t="str">
        <f t="shared" si="218"/>
        <v>Bajo</v>
      </c>
      <c r="AG134" s="109" t="s">
        <v>129</v>
      </c>
      <c r="AH134" s="148" t="s">
        <v>459</v>
      </c>
      <c r="AI134" s="111"/>
      <c r="AJ134" s="112"/>
      <c r="AK134" s="112"/>
      <c r="AL134" s="148"/>
      <c r="AM134" s="111"/>
      <c r="AN134" s="23"/>
      <c r="AO134" s="23"/>
      <c r="AP134" s="23"/>
      <c r="AQ134" s="23"/>
      <c r="AR134" s="23"/>
      <c r="AS134" s="23"/>
      <c r="AT134" s="23"/>
      <c r="AU134" s="23"/>
      <c r="AV134" s="23"/>
      <c r="AW134" s="23"/>
      <c r="AX134" s="23"/>
      <c r="AY134" s="23"/>
      <c r="AZ134" s="23"/>
      <c r="BA134" s="23"/>
      <c r="BB134" s="23"/>
      <c r="BC134" s="23"/>
      <c r="BD134" s="23"/>
      <c r="BE134" s="23"/>
      <c r="BF134" s="23"/>
      <c r="BG134" s="23"/>
      <c r="BH134" s="23"/>
      <c r="BI134" s="23"/>
      <c r="BJ134" s="23"/>
      <c r="BK134" s="23"/>
      <c r="BL134" s="23"/>
      <c r="BM134" s="23"/>
      <c r="BN134" s="23"/>
      <c r="BO134" s="23"/>
      <c r="BP134" s="23"/>
      <c r="BQ134" s="23"/>
      <c r="BR134" s="23"/>
      <c r="BS134" s="23"/>
    </row>
    <row r="135" spans="1:71" ht="151.5" customHeight="1" x14ac:dyDescent="0.25">
      <c r="A135" s="212"/>
      <c r="B135" s="215"/>
      <c r="C135" s="224"/>
      <c r="D135" s="224"/>
      <c r="E135" s="218"/>
      <c r="F135" s="218"/>
      <c r="G135" s="218"/>
      <c r="H135" s="220"/>
      <c r="I135" s="218"/>
      <c r="J135" s="222"/>
      <c r="K135" s="203"/>
      <c r="L135" s="206"/>
      <c r="M135" s="208"/>
      <c r="N135" s="150"/>
      <c r="O135" s="203"/>
      <c r="P135" s="206"/>
      <c r="Q135" s="211"/>
      <c r="R135" s="100">
        <v>3</v>
      </c>
      <c r="S135" s="101"/>
      <c r="T135" s="102" t="str">
        <f t="shared" si="211"/>
        <v>Probabilidad</v>
      </c>
      <c r="U135" s="103" t="s">
        <v>15</v>
      </c>
      <c r="V135" s="103" t="s">
        <v>9</v>
      </c>
      <c r="W135" s="104" t="str">
        <f t="shared" si="212"/>
        <v>30%</v>
      </c>
      <c r="X135" s="103" t="s">
        <v>20</v>
      </c>
      <c r="Y135" s="103" t="s">
        <v>23</v>
      </c>
      <c r="Z135" s="103" t="s">
        <v>114</v>
      </c>
      <c r="AA135" s="105">
        <f t="shared" si="213"/>
        <v>0</v>
      </c>
      <c r="AB135" s="106" t="str">
        <f t="shared" si="214"/>
        <v>Muy Baja</v>
      </c>
      <c r="AC135" s="107">
        <f t="shared" si="215"/>
        <v>0</v>
      </c>
      <c r="AD135" s="106" t="str">
        <f t="shared" si="216"/>
        <v>Leve</v>
      </c>
      <c r="AE135" s="107">
        <f t="shared" si="217"/>
        <v>0</v>
      </c>
      <c r="AF135" s="108" t="str">
        <f t="shared" si="218"/>
        <v>Bajo</v>
      </c>
      <c r="AG135" s="109" t="s">
        <v>129</v>
      </c>
      <c r="AH135" s="148" t="s">
        <v>460</v>
      </c>
      <c r="AI135" s="111"/>
      <c r="AJ135" s="112"/>
      <c r="AK135" s="112"/>
      <c r="AL135" s="148"/>
      <c r="AM135" s="111"/>
      <c r="AN135" s="23"/>
      <c r="AO135" s="23"/>
      <c r="AP135" s="23"/>
      <c r="AQ135" s="23"/>
      <c r="AR135" s="23"/>
      <c r="AS135" s="23"/>
      <c r="AT135" s="23"/>
      <c r="AU135" s="23"/>
      <c r="AV135" s="23"/>
      <c r="AW135" s="23"/>
      <c r="AX135" s="23"/>
      <c r="AY135" s="23"/>
      <c r="AZ135" s="23"/>
      <c r="BA135" s="23"/>
      <c r="BB135" s="23"/>
      <c r="BC135" s="23"/>
      <c r="BD135" s="23"/>
      <c r="BE135" s="23"/>
      <c r="BF135" s="23"/>
      <c r="BG135" s="23"/>
      <c r="BH135" s="23"/>
      <c r="BI135" s="23"/>
      <c r="BJ135" s="23"/>
      <c r="BK135" s="23"/>
      <c r="BL135" s="23"/>
      <c r="BM135" s="23"/>
      <c r="BN135" s="23"/>
      <c r="BO135" s="23"/>
      <c r="BP135" s="23"/>
      <c r="BQ135" s="23"/>
      <c r="BR135" s="23"/>
      <c r="BS135" s="23"/>
    </row>
    <row r="136" spans="1:71" ht="151.5" hidden="1" customHeight="1" x14ac:dyDescent="0.25">
      <c r="A136" s="212">
        <v>44</v>
      </c>
      <c r="B136" s="213"/>
      <c r="C136" s="213"/>
      <c r="D136" s="213"/>
      <c r="E136" s="217"/>
      <c r="F136" s="217"/>
      <c r="G136" s="217"/>
      <c r="H136" s="219"/>
      <c r="I136" s="217"/>
      <c r="J136" s="221"/>
      <c r="K136" s="201" t="str">
        <f>IF(J136&lt;=0,"",IF(J136&lt;=2,"Muy Baja",IF(J136&lt;=24,"Baja",IF(J136&lt;=500,"Media",IF(J136&lt;=5000,"Alta","Muy Alta")))))</f>
        <v/>
      </c>
      <c r="L136" s="204" t="str">
        <f>IF(K136="","",IF(K136="Muy Baja",0.2,IF(K136="Baja",0.4,IF(K136="Media",0.6,IF(K136="Alta",0.8,IF(K136="Muy Alta",1,))))))</f>
        <v/>
      </c>
      <c r="M136" s="207"/>
      <c r="N136" s="149">
        <f>IF(NOT(ISERROR(MATCH(M136,'Tabla Impacto'!$B$221:$B$223,0))),'Tabla Impacto'!$F$223&amp;"Por favor no seleccionar los criterios de impacto(Afectación Económica o presupuestal y Pérdida Reputacional)",M136)</f>
        <v>0</v>
      </c>
      <c r="O136" s="201" t="str">
        <f>IF(OR(N136='Tabla Impacto'!$C$11,N136='Tabla Impacto'!$D$11),"Leve",IF(OR(N136='Tabla Impacto'!$C$12,N136='Tabla Impacto'!$D$12),"Menor",IF(OR(N136='Tabla Impacto'!$C$13,N136='Tabla Impacto'!$D$13),"Moderado",IF(OR(N136='Tabla Impacto'!$C$14,N136='Tabla Impacto'!$D$14),"Mayor",IF(OR(N136='Tabla Impacto'!$C$15,N136='Tabla Impacto'!$D$15),"Catastrófico","")))))</f>
        <v/>
      </c>
      <c r="P136" s="204" t="str">
        <f>IF(O136="","",IF(O136="Leve",0.2,IF(O136="Menor",0.4,IF(O136="Moderado",0.6,IF(O136="Mayor",0.8,IF(O136="Catastrófico",1,))))))</f>
        <v/>
      </c>
      <c r="Q136" s="209" t="str">
        <f>IF(OR(AND(K136="Muy Baja",O136="Leve"),AND(K136="Muy Baja",O136="Menor"),AND(K136="Baja",O136="Leve")),"Bajo",IF(OR(AND(K136="Muy baja",O136="Moderado"),AND(K136="Baja",O136="Menor"),AND(K136="Baja",O136="Moderado"),AND(K136="Media",O136="Leve"),AND(K136="Media",O136="Menor"),AND(K136="Media",O136="Moderado"),AND(K136="Alta",O136="Leve"),AND(K136="Alta",O136="Menor")),"Moderado",IF(OR(AND(K136="Muy Baja",O136="Mayor"),AND(K136="Baja",O136="Mayor"),AND(K136="Media",O136="Mayor"),AND(K136="Alta",O136="Moderado"),AND(K136="Alta",O136="Mayor"),AND(K136="Muy Alta",O136="Leve"),AND(K136="Muy Alta",O136="Menor"),AND(K136="Muy Alta",O136="Moderado"),AND(K136="Muy Alta",O136="Mayor")),"Alto",IF(OR(AND(K136="Muy Baja",O136="Catastrófico"),AND(K136="Baja",O136="Catastrófico"),AND(K136="Media",O136="Catastrófico"),AND(K136="Alta",O136="Catastrófico"),AND(K136="Muy Alta",O136="Catastrófico")),"Extremo",""))))</f>
        <v/>
      </c>
      <c r="R136" s="100">
        <v>1</v>
      </c>
      <c r="S136" s="101"/>
      <c r="T136" s="102" t="str">
        <f t="shared" si="211"/>
        <v/>
      </c>
      <c r="U136" s="103"/>
      <c r="V136" s="103"/>
      <c r="W136" s="104" t="str">
        <f t="shared" si="212"/>
        <v/>
      </c>
      <c r="X136" s="103"/>
      <c r="Y136" s="103"/>
      <c r="Z136" s="103"/>
      <c r="AA136" s="105" t="str">
        <f t="shared" si="213"/>
        <v/>
      </c>
      <c r="AB136" s="106" t="str">
        <f t="shared" si="214"/>
        <v/>
      </c>
      <c r="AC136" s="107" t="str">
        <f t="shared" si="215"/>
        <v/>
      </c>
      <c r="AD136" s="106" t="str">
        <f t="shared" si="216"/>
        <v/>
      </c>
      <c r="AE136" s="107" t="str">
        <f t="shared" si="217"/>
        <v/>
      </c>
      <c r="AF136" s="108" t="str">
        <f t="shared" si="218"/>
        <v/>
      </c>
      <c r="AG136" s="109"/>
      <c r="AH136" s="110"/>
      <c r="AI136" s="111"/>
      <c r="AJ136" s="112"/>
      <c r="AK136" s="112"/>
      <c r="AL136" s="110"/>
      <c r="AM136" s="111"/>
      <c r="AN136" s="23"/>
      <c r="AO136" s="23"/>
      <c r="AP136" s="23"/>
      <c r="AQ136" s="23"/>
      <c r="AR136" s="23"/>
      <c r="AS136" s="23"/>
      <c r="AT136" s="23"/>
      <c r="AU136" s="23"/>
      <c r="AV136" s="23"/>
      <c r="AW136" s="23"/>
      <c r="AX136" s="23"/>
      <c r="AY136" s="23"/>
      <c r="AZ136" s="23"/>
      <c r="BA136" s="23"/>
      <c r="BB136" s="23"/>
      <c r="BC136" s="23"/>
      <c r="BD136" s="23"/>
      <c r="BE136" s="23"/>
      <c r="BF136" s="23"/>
      <c r="BG136" s="23"/>
      <c r="BH136" s="23"/>
      <c r="BI136" s="23"/>
      <c r="BJ136" s="23"/>
      <c r="BK136" s="23"/>
      <c r="BL136" s="23"/>
      <c r="BM136" s="23"/>
      <c r="BN136" s="23"/>
      <c r="BO136" s="23"/>
      <c r="BP136" s="23"/>
      <c r="BQ136" s="23"/>
      <c r="BR136" s="23"/>
      <c r="BS136" s="23"/>
    </row>
    <row r="137" spans="1:71" ht="151.5" hidden="1" customHeight="1" x14ac:dyDescent="0.25">
      <c r="A137" s="212"/>
      <c r="B137" s="214"/>
      <c r="C137" s="214"/>
      <c r="D137" s="214"/>
      <c r="E137" s="218"/>
      <c r="F137" s="218"/>
      <c r="G137" s="218"/>
      <c r="H137" s="220"/>
      <c r="I137" s="218"/>
      <c r="J137" s="222"/>
      <c r="K137" s="202"/>
      <c r="L137" s="205"/>
      <c r="M137" s="208"/>
      <c r="N137" s="150"/>
      <c r="O137" s="202"/>
      <c r="P137" s="205"/>
      <c r="Q137" s="210"/>
      <c r="R137" s="100">
        <v>2</v>
      </c>
      <c r="S137" s="101"/>
      <c r="T137" s="102" t="str">
        <f t="shared" si="211"/>
        <v/>
      </c>
      <c r="U137" s="103"/>
      <c r="V137" s="103"/>
      <c r="W137" s="104" t="str">
        <f t="shared" si="212"/>
        <v/>
      </c>
      <c r="X137" s="103"/>
      <c r="Y137" s="103"/>
      <c r="Z137" s="103"/>
      <c r="AA137" s="105" t="str">
        <f t="shared" si="213"/>
        <v/>
      </c>
      <c r="AB137" s="106" t="str">
        <f t="shared" si="214"/>
        <v/>
      </c>
      <c r="AC137" s="107" t="str">
        <f t="shared" si="215"/>
        <v/>
      </c>
      <c r="AD137" s="106" t="str">
        <f t="shared" si="216"/>
        <v/>
      </c>
      <c r="AE137" s="107" t="str">
        <f t="shared" si="217"/>
        <v/>
      </c>
      <c r="AF137" s="108" t="str">
        <f t="shared" si="218"/>
        <v/>
      </c>
      <c r="AG137" s="109"/>
      <c r="AH137" s="110"/>
      <c r="AI137" s="111"/>
      <c r="AJ137" s="112"/>
      <c r="AK137" s="112"/>
      <c r="AL137" s="110"/>
      <c r="AM137" s="111"/>
      <c r="AN137" s="23"/>
      <c r="AO137" s="23"/>
      <c r="AP137" s="23"/>
      <c r="AQ137" s="23"/>
      <c r="AR137" s="23"/>
      <c r="AS137" s="23"/>
      <c r="AT137" s="23"/>
      <c r="AU137" s="23"/>
      <c r="AV137" s="23"/>
      <c r="AW137" s="23"/>
      <c r="AX137" s="23"/>
      <c r="AY137" s="23"/>
      <c r="AZ137" s="23"/>
      <c r="BA137" s="23"/>
      <c r="BB137" s="23"/>
      <c r="BC137" s="23"/>
      <c r="BD137" s="23"/>
      <c r="BE137" s="23"/>
      <c r="BF137" s="23"/>
      <c r="BG137" s="23"/>
      <c r="BH137" s="23"/>
      <c r="BI137" s="23"/>
      <c r="BJ137" s="23"/>
      <c r="BK137" s="23"/>
      <c r="BL137" s="23"/>
      <c r="BM137" s="23"/>
      <c r="BN137" s="23"/>
      <c r="BO137" s="23"/>
      <c r="BP137" s="23"/>
      <c r="BQ137" s="23"/>
      <c r="BR137" s="23"/>
      <c r="BS137" s="23"/>
    </row>
    <row r="138" spans="1:71" ht="151.5" hidden="1" customHeight="1" x14ac:dyDescent="0.25">
      <c r="A138" s="212"/>
      <c r="B138" s="215"/>
      <c r="C138" s="214"/>
      <c r="D138" s="214"/>
      <c r="E138" s="218"/>
      <c r="F138" s="218"/>
      <c r="G138" s="218"/>
      <c r="H138" s="220"/>
      <c r="I138" s="218"/>
      <c r="J138" s="222"/>
      <c r="K138" s="203"/>
      <c r="L138" s="206"/>
      <c r="M138" s="208"/>
      <c r="N138" s="150"/>
      <c r="O138" s="203"/>
      <c r="P138" s="206"/>
      <c r="Q138" s="211"/>
      <c r="R138" s="100">
        <v>3</v>
      </c>
      <c r="S138" s="101"/>
      <c r="T138" s="102" t="str">
        <f t="shared" si="211"/>
        <v/>
      </c>
      <c r="U138" s="103"/>
      <c r="V138" s="103"/>
      <c r="W138" s="104" t="str">
        <f t="shared" si="212"/>
        <v/>
      </c>
      <c r="X138" s="103"/>
      <c r="Y138" s="103"/>
      <c r="Z138" s="103"/>
      <c r="AA138" s="105" t="str">
        <f t="shared" si="213"/>
        <v/>
      </c>
      <c r="AB138" s="106" t="str">
        <f t="shared" si="214"/>
        <v/>
      </c>
      <c r="AC138" s="107" t="str">
        <f t="shared" si="215"/>
        <v/>
      </c>
      <c r="AD138" s="106" t="str">
        <f t="shared" si="216"/>
        <v/>
      </c>
      <c r="AE138" s="107" t="str">
        <f t="shared" si="217"/>
        <v/>
      </c>
      <c r="AF138" s="108" t="str">
        <f t="shared" si="218"/>
        <v/>
      </c>
      <c r="AG138" s="109"/>
      <c r="AH138" s="110"/>
      <c r="AI138" s="111"/>
      <c r="AJ138" s="112"/>
      <c r="AK138" s="112"/>
      <c r="AL138" s="110"/>
      <c r="AM138" s="111"/>
      <c r="AN138" s="23"/>
      <c r="AO138" s="23"/>
      <c r="AP138" s="23"/>
      <c r="AQ138" s="23"/>
      <c r="AR138" s="23"/>
      <c r="AS138" s="23"/>
      <c r="AT138" s="23"/>
      <c r="AU138" s="23"/>
      <c r="AV138" s="23"/>
      <c r="AW138" s="23"/>
      <c r="AX138" s="23"/>
      <c r="AY138" s="23"/>
      <c r="AZ138" s="23"/>
      <c r="BA138" s="23"/>
      <c r="BB138" s="23"/>
      <c r="BC138" s="23"/>
      <c r="BD138" s="23"/>
      <c r="BE138" s="23"/>
      <c r="BF138" s="23"/>
      <c r="BG138" s="23"/>
      <c r="BH138" s="23"/>
      <c r="BI138" s="23"/>
      <c r="BJ138" s="23"/>
      <c r="BK138" s="23"/>
      <c r="BL138" s="23"/>
      <c r="BM138" s="23"/>
      <c r="BN138" s="23"/>
      <c r="BO138" s="23"/>
      <c r="BP138" s="23"/>
      <c r="BQ138" s="23"/>
      <c r="BR138" s="23"/>
      <c r="BS138" s="23"/>
    </row>
    <row r="139" spans="1:71" ht="151.5" hidden="1" customHeight="1" x14ac:dyDescent="0.25">
      <c r="A139" s="212">
        <v>45</v>
      </c>
      <c r="B139" s="213"/>
      <c r="C139" s="216"/>
      <c r="D139" s="216"/>
      <c r="E139" s="217"/>
      <c r="F139" s="217"/>
      <c r="G139" s="217"/>
      <c r="H139" s="219"/>
      <c r="I139" s="217"/>
      <c r="J139" s="221"/>
      <c r="K139" s="201" t="str">
        <f>IF(J139&lt;=0,"",IF(J139&lt;=2,"Muy Baja",IF(J139&lt;=24,"Baja",IF(J139&lt;=500,"Media",IF(J139&lt;=5000,"Alta","Muy Alta")))))</f>
        <v/>
      </c>
      <c r="L139" s="204" t="str">
        <f>IF(K139="","",IF(K139="Muy Baja",0.2,IF(K139="Baja",0.4,IF(K139="Media",0.6,IF(K139="Alta",0.8,IF(K139="Muy Alta",1,))))))</f>
        <v/>
      </c>
      <c r="M139" s="207"/>
      <c r="N139" s="149">
        <f>IF(NOT(ISERROR(MATCH(M139,'Tabla Impacto'!$B$221:$B$223,0))),'Tabla Impacto'!$F$223&amp;"Por favor no seleccionar los criterios de impacto(Afectación Económica o presupuestal y Pérdida Reputacional)",M139)</f>
        <v>0</v>
      </c>
      <c r="O139" s="201" t="str">
        <f>IF(OR(N139='Tabla Impacto'!$C$11,N139='Tabla Impacto'!$D$11),"Leve",IF(OR(N139='Tabla Impacto'!$C$12,N139='Tabla Impacto'!$D$12),"Menor",IF(OR(N139='Tabla Impacto'!$C$13,N139='Tabla Impacto'!$D$13),"Moderado",IF(OR(N139='Tabla Impacto'!$C$14,N139='Tabla Impacto'!$D$14),"Mayor",IF(OR(N139='Tabla Impacto'!$C$15,N139='Tabla Impacto'!$D$15),"Catastrófico","")))))</f>
        <v/>
      </c>
      <c r="P139" s="204" t="str">
        <f>IF(O139="","",IF(O139="Leve",0.2,IF(O139="Menor",0.4,IF(O139="Moderado",0.6,IF(O139="Mayor",0.8,IF(O139="Catastrófico",1,))))))</f>
        <v/>
      </c>
      <c r="Q139" s="209" t="str">
        <f>IF(OR(AND(K139="Muy Baja",O139="Leve"),AND(K139="Muy Baja",O139="Menor"),AND(K139="Baja",O139="Leve")),"Bajo",IF(OR(AND(K139="Muy baja",O139="Moderado"),AND(K139="Baja",O139="Menor"),AND(K139="Baja",O139="Moderado"),AND(K139="Media",O139="Leve"),AND(K139="Media",O139="Menor"),AND(K139="Media",O139="Moderado"),AND(K139="Alta",O139="Leve"),AND(K139="Alta",O139="Menor")),"Moderado",IF(OR(AND(K139="Muy Baja",O139="Mayor"),AND(K139="Baja",O139="Mayor"),AND(K139="Media",O139="Mayor"),AND(K139="Alta",O139="Moderado"),AND(K139="Alta",O139="Mayor"),AND(K139="Muy Alta",O139="Leve"),AND(K139="Muy Alta",O139="Menor"),AND(K139="Muy Alta",O139="Moderado"),AND(K139="Muy Alta",O139="Mayor")),"Alto",IF(OR(AND(K139="Muy Baja",O139="Catastrófico"),AND(K139="Baja",O139="Catastrófico"),AND(K139="Media",O139="Catastrófico"),AND(K139="Alta",O139="Catastrófico"),AND(K139="Muy Alta",O139="Catastrófico")),"Extremo",""))))</f>
        <v/>
      </c>
      <c r="R139" s="100">
        <v>1</v>
      </c>
      <c r="S139" s="101"/>
      <c r="T139" s="102" t="str">
        <f t="shared" si="211"/>
        <v/>
      </c>
      <c r="U139" s="103"/>
      <c r="V139" s="103"/>
      <c r="W139" s="104" t="str">
        <f t="shared" si="212"/>
        <v/>
      </c>
      <c r="X139" s="103"/>
      <c r="Y139" s="103"/>
      <c r="Z139" s="103"/>
      <c r="AA139" s="105" t="str">
        <f t="shared" si="213"/>
        <v/>
      </c>
      <c r="AB139" s="106" t="str">
        <f t="shared" si="214"/>
        <v/>
      </c>
      <c r="AC139" s="107" t="str">
        <f t="shared" si="215"/>
        <v/>
      </c>
      <c r="AD139" s="106" t="str">
        <f t="shared" si="216"/>
        <v/>
      </c>
      <c r="AE139" s="107" t="str">
        <f t="shared" si="217"/>
        <v/>
      </c>
      <c r="AF139" s="108" t="str">
        <f t="shared" si="218"/>
        <v/>
      </c>
      <c r="AG139" s="109"/>
      <c r="AH139" s="110"/>
      <c r="AI139" s="111"/>
      <c r="AJ139" s="112"/>
      <c r="AK139" s="112"/>
      <c r="AL139" s="110"/>
      <c r="AM139" s="111"/>
      <c r="AN139" s="23"/>
      <c r="AO139" s="23"/>
      <c r="AP139" s="23"/>
      <c r="AQ139" s="23"/>
      <c r="AR139" s="23"/>
      <c r="AS139" s="23"/>
      <c r="AT139" s="23"/>
      <c r="AU139" s="23"/>
      <c r="AV139" s="23"/>
      <c r="AW139" s="23"/>
      <c r="AX139" s="23"/>
      <c r="AY139" s="23"/>
      <c r="AZ139" s="23"/>
      <c r="BA139" s="23"/>
      <c r="BB139" s="23"/>
      <c r="BC139" s="23"/>
      <c r="BD139" s="23"/>
      <c r="BE139" s="23"/>
      <c r="BF139" s="23"/>
      <c r="BG139" s="23"/>
      <c r="BH139" s="23"/>
      <c r="BI139" s="23"/>
      <c r="BJ139" s="23"/>
      <c r="BK139" s="23"/>
      <c r="BL139" s="23"/>
      <c r="BM139" s="23"/>
      <c r="BN139" s="23"/>
      <c r="BO139" s="23"/>
      <c r="BP139" s="23"/>
      <c r="BQ139" s="23"/>
      <c r="BR139" s="23"/>
      <c r="BS139" s="23"/>
    </row>
    <row r="140" spans="1:71" ht="151.5" hidden="1" customHeight="1" x14ac:dyDescent="0.25">
      <c r="A140" s="212"/>
      <c r="B140" s="214"/>
      <c r="C140" s="212"/>
      <c r="D140" s="212"/>
      <c r="E140" s="218"/>
      <c r="F140" s="218"/>
      <c r="G140" s="218"/>
      <c r="H140" s="220"/>
      <c r="I140" s="218"/>
      <c r="J140" s="222"/>
      <c r="K140" s="202"/>
      <c r="L140" s="205"/>
      <c r="M140" s="208"/>
      <c r="N140" s="150"/>
      <c r="O140" s="202"/>
      <c r="P140" s="205"/>
      <c r="Q140" s="210"/>
      <c r="R140" s="100">
        <v>2</v>
      </c>
      <c r="S140" s="101"/>
      <c r="T140" s="102" t="str">
        <f t="shared" si="211"/>
        <v/>
      </c>
      <c r="U140" s="103"/>
      <c r="V140" s="103"/>
      <c r="W140" s="104" t="str">
        <f t="shared" si="212"/>
        <v/>
      </c>
      <c r="X140" s="103"/>
      <c r="Y140" s="103"/>
      <c r="Z140" s="103"/>
      <c r="AA140" s="105" t="str">
        <f t="shared" si="213"/>
        <v/>
      </c>
      <c r="AB140" s="106" t="str">
        <f t="shared" si="214"/>
        <v/>
      </c>
      <c r="AC140" s="107" t="str">
        <f t="shared" si="215"/>
        <v/>
      </c>
      <c r="AD140" s="106" t="str">
        <f t="shared" si="216"/>
        <v/>
      </c>
      <c r="AE140" s="107" t="str">
        <f t="shared" si="217"/>
        <v/>
      </c>
      <c r="AF140" s="108" t="str">
        <f t="shared" si="218"/>
        <v/>
      </c>
      <c r="AG140" s="109"/>
      <c r="AH140" s="110"/>
      <c r="AI140" s="111"/>
      <c r="AJ140" s="112"/>
      <c r="AK140" s="112"/>
      <c r="AL140" s="110"/>
      <c r="AM140" s="111"/>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c r="BO140" s="23"/>
      <c r="BP140" s="23"/>
      <c r="BQ140" s="23"/>
      <c r="BR140" s="23"/>
      <c r="BS140" s="23"/>
    </row>
    <row r="141" spans="1:71" ht="151.5" hidden="1" customHeight="1" x14ac:dyDescent="0.25">
      <c r="A141" s="212"/>
      <c r="B141" s="215"/>
      <c r="C141" s="212"/>
      <c r="D141" s="212"/>
      <c r="E141" s="218"/>
      <c r="F141" s="218"/>
      <c r="G141" s="218"/>
      <c r="H141" s="220"/>
      <c r="I141" s="218"/>
      <c r="J141" s="222"/>
      <c r="K141" s="203"/>
      <c r="L141" s="206"/>
      <c r="M141" s="208"/>
      <c r="N141" s="150"/>
      <c r="O141" s="203"/>
      <c r="P141" s="206"/>
      <c r="Q141" s="211"/>
      <c r="R141" s="100">
        <v>3</v>
      </c>
      <c r="S141" s="101"/>
      <c r="T141" s="102" t="str">
        <f t="shared" si="211"/>
        <v/>
      </c>
      <c r="U141" s="103"/>
      <c r="V141" s="103"/>
      <c r="W141" s="104" t="str">
        <f t="shared" si="212"/>
        <v/>
      </c>
      <c r="X141" s="103"/>
      <c r="Y141" s="103"/>
      <c r="Z141" s="103"/>
      <c r="AA141" s="105" t="str">
        <f t="shared" si="213"/>
        <v/>
      </c>
      <c r="AB141" s="106" t="str">
        <f t="shared" si="214"/>
        <v/>
      </c>
      <c r="AC141" s="107" t="str">
        <f t="shared" si="215"/>
        <v/>
      </c>
      <c r="AD141" s="106" t="str">
        <f t="shared" si="216"/>
        <v/>
      </c>
      <c r="AE141" s="107" t="str">
        <f t="shared" si="217"/>
        <v/>
      </c>
      <c r="AF141" s="108" t="str">
        <f t="shared" si="218"/>
        <v/>
      </c>
      <c r="AG141" s="109"/>
      <c r="AH141" s="110"/>
      <c r="AI141" s="111"/>
      <c r="AJ141" s="112"/>
      <c r="AK141" s="112"/>
      <c r="AL141" s="110"/>
      <c r="AM141" s="111"/>
      <c r="AN141" s="23"/>
      <c r="AO141" s="23"/>
      <c r="AP141" s="23"/>
      <c r="AQ141" s="23"/>
      <c r="AR141" s="23"/>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c r="BO141" s="23"/>
      <c r="BP141" s="23"/>
      <c r="BQ141" s="23"/>
      <c r="BR141" s="23"/>
      <c r="BS141" s="23"/>
    </row>
    <row r="142" spans="1:71" ht="151.5" hidden="1" customHeight="1" x14ac:dyDescent="0.25">
      <c r="A142" s="212">
        <v>46</v>
      </c>
      <c r="B142" s="213"/>
      <c r="C142" s="216"/>
      <c r="D142" s="216"/>
      <c r="E142" s="217"/>
      <c r="F142" s="217"/>
      <c r="G142" s="217"/>
      <c r="H142" s="219"/>
      <c r="I142" s="217"/>
      <c r="J142" s="221"/>
      <c r="K142" s="201" t="str">
        <f>IF(J142&lt;=0,"",IF(J142&lt;=2,"Muy Baja",IF(J142&lt;=24,"Baja",IF(J142&lt;=500,"Media",IF(J142&lt;=5000,"Alta","Muy Alta")))))</f>
        <v/>
      </c>
      <c r="L142" s="204" t="str">
        <f>IF(K142="","",IF(K142="Muy Baja",0.2,IF(K142="Baja",0.4,IF(K142="Media",0.6,IF(K142="Alta",0.8,IF(K142="Muy Alta",1,))))))</f>
        <v/>
      </c>
      <c r="M142" s="207"/>
      <c r="N142" s="149">
        <f>IF(NOT(ISERROR(MATCH(M142,'Tabla Impacto'!$B$221:$B$223,0))),'Tabla Impacto'!$F$223&amp;"Por favor no seleccionar los criterios de impacto(Afectación Económica o presupuestal y Pérdida Reputacional)",M142)</f>
        <v>0</v>
      </c>
      <c r="O142" s="201" t="str">
        <f>IF(OR(N142='Tabla Impacto'!$C$11,N142='Tabla Impacto'!$D$11),"Leve",IF(OR(N142='Tabla Impacto'!$C$12,N142='Tabla Impacto'!$D$12),"Menor",IF(OR(N142='Tabla Impacto'!$C$13,N142='Tabla Impacto'!$D$13),"Moderado",IF(OR(N142='Tabla Impacto'!$C$14,N142='Tabla Impacto'!$D$14),"Mayor",IF(OR(N142='Tabla Impacto'!$C$15,N142='Tabla Impacto'!$D$15),"Catastrófico","")))))</f>
        <v/>
      </c>
      <c r="P142" s="204" t="str">
        <f>IF(O142="","",IF(O142="Leve",0.2,IF(O142="Menor",0.4,IF(O142="Moderado",0.6,IF(O142="Mayor",0.8,IF(O142="Catastrófico",1,))))))</f>
        <v/>
      </c>
      <c r="Q142" s="209" t="str">
        <f>IF(OR(AND(K142="Muy Baja",O142="Leve"),AND(K142="Muy Baja",O142="Menor"),AND(K142="Baja",O142="Leve")),"Bajo",IF(OR(AND(K142="Muy baja",O142="Moderado"),AND(K142="Baja",O142="Menor"),AND(K142="Baja",O142="Moderado"),AND(K142="Media",O142="Leve"),AND(K142="Media",O142="Menor"),AND(K142="Media",O142="Moderado"),AND(K142="Alta",O142="Leve"),AND(K142="Alta",O142="Menor")),"Moderado",IF(OR(AND(K142="Muy Baja",O142="Mayor"),AND(K142="Baja",O142="Mayor"),AND(K142="Media",O142="Mayor"),AND(K142="Alta",O142="Moderado"),AND(K142="Alta",O142="Mayor"),AND(K142="Muy Alta",O142="Leve"),AND(K142="Muy Alta",O142="Menor"),AND(K142="Muy Alta",O142="Moderado"),AND(K142="Muy Alta",O142="Mayor")),"Alto",IF(OR(AND(K142="Muy Baja",O142="Catastrófico"),AND(K142="Baja",O142="Catastrófico"),AND(K142="Media",O142="Catastrófico"),AND(K142="Alta",O142="Catastrófico"),AND(K142="Muy Alta",O142="Catastrófico")),"Extremo",""))))</f>
        <v/>
      </c>
      <c r="R142" s="100">
        <v>1</v>
      </c>
      <c r="S142" s="101"/>
      <c r="T142" s="102" t="str">
        <f t="shared" si="211"/>
        <v/>
      </c>
      <c r="U142" s="103"/>
      <c r="V142" s="103"/>
      <c r="W142" s="104" t="str">
        <f t="shared" si="212"/>
        <v/>
      </c>
      <c r="X142" s="103"/>
      <c r="Y142" s="103"/>
      <c r="Z142" s="103"/>
      <c r="AA142" s="105" t="str">
        <f t="shared" si="213"/>
        <v/>
      </c>
      <c r="AB142" s="106" t="str">
        <f t="shared" si="214"/>
        <v/>
      </c>
      <c r="AC142" s="107" t="str">
        <f t="shared" si="215"/>
        <v/>
      </c>
      <c r="AD142" s="106" t="str">
        <f t="shared" si="216"/>
        <v/>
      </c>
      <c r="AE142" s="107" t="str">
        <f t="shared" si="217"/>
        <v/>
      </c>
      <c r="AF142" s="108" t="str">
        <f t="shared" si="218"/>
        <v/>
      </c>
      <c r="AG142" s="109"/>
      <c r="AH142" s="110"/>
      <c r="AI142" s="111"/>
      <c r="AJ142" s="112"/>
      <c r="AK142" s="112"/>
      <c r="AL142" s="110"/>
      <c r="AM142" s="111"/>
      <c r="AN142" s="23"/>
      <c r="AO142" s="23"/>
      <c r="AP142" s="23"/>
      <c r="AQ142" s="23"/>
      <c r="AR142" s="23"/>
      <c r="AS142" s="23"/>
      <c r="AT142" s="23"/>
      <c r="AU142" s="23"/>
      <c r="AV142" s="23"/>
      <c r="AW142" s="23"/>
      <c r="AX142" s="23"/>
      <c r="AY142" s="23"/>
      <c r="AZ142" s="23"/>
      <c r="BA142" s="23"/>
      <c r="BB142" s="23"/>
      <c r="BC142" s="23"/>
      <c r="BD142" s="23"/>
      <c r="BE142" s="23"/>
      <c r="BF142" s="23"/>
      <c r="BG142" s="23"/>
      <c r="BH142" s="23"/>
      <c r="BI142" s="23"/>
      <c r="BJ142" s="23"/>
      <c r="BK142" s="23"/>
      <c r="BL142" s="23"/>
      <c r="BM142" s="23"/>
      <c r="BN142" s="23"/>
      <c r="BO142" s="23"/>
      <c r="BP142" s="23"/>
      <c r="BQ142" s="23"/>
      <c r="BR142" s="23"/>
      <c r="BS142" s="23"/>
    </row>
    <row r="143" spans="1:71" ht="151.5" hidden="1" customHeight="1" x14ac:dyDescent="0.25">
      <c r="A143" s="212"/>
      <c r="B143" s="214"/>
      <c r="C143" s="212"/>
      <c r="D143" s="212"/>
      <c r="E143" s="218"/>
      <c r="F143" s="218"/>
      <c r="G143" s="218"/>
      <c r="H143" s="220"/>
      <c r="I143" s="218"/>
      <c r="J143" s="222"/>
      <c r="K143" s="202"/>
      <c r="L143" s="205"/>
      <c r="M143" s="208"/>
      <c r="N143" s="150"/>
      <c r="O143" s="202"/>
      <c r="P143" s="205"/>
      <c r="Q143" s="210"/>
      <c r="R143" s="100">
        <v>2</v>
      </c>
      <c r="S143" s="101"/>
      <c r="T143" s="102" t="str">
        <f t="shared" si="211"/>
        <v/>
      </c>
      <c r="U143" s="103"/>
      <c r="V143" s="103"/>
      <c r="W143" s="104" t="str">
        <f t="shared" si="212"/>
        <v/>
      </c>
      <c r="X143" s="103"/>
      <c r="Y143" s="103"/>
      <c r="Z143" s="103"/>
      <c r="AA143" s="105" t="str">
        <f t="shared" si="213"/>
        <v/>
      </c>
      <c r="AB143" s="106" t="str">
        <f t="shared" si="214"/>
        <v/>
      </c>
      <c r="AC143" s="107" t="str">
        <f t="shared" si="215"/>
        <v/>
      </c>
      <c r="AD143" s="106" t="str">
        <f t="shared" si="216"/>
        <v/>
      </c>
      <c r="AE143" s="107" t="str">
        <f t="shared" si="217"/>
        <v/>
      </c>
      <c r="AF143" s="108" t="str">
        <f t="shared" si="218"/>
        <v/>
      </c>
      <c r="AG143" s="109"/>
      <c r="AH143" s="110"/>
      <c r="AI143" s="111"/>
      <c r="AJ143" s="112"/>
      <c r="AK143" s="112"/>
      <c r="AL143" s="110"/>
      <c r="AM143" s="111"/>
      <c r="AN143" s="23"/>
      <c r="AO143" s="23"/>
      <c r="AP143" s="23"/>
      <c r="AQ143" s="23"/>
      <c r="AR143" s="23"/>
      <c r="AS143" s="23"/>
      <c r="AT143" s="23"/>
      <c r="AU143" s="23"/>
      <c r="AV143" s="23"/>
      <c r="AW143" s="23"/>
      <c r="AX143" s="23"/>
      <c r="AY143" s="23"/>
      <c r="AZ143" s="23"/>
      <c r="BA143" s="23"/>
      <c r="BB143" s="23"/>
      <c r="BC143" s="23"/>
      <c r="BD143" s="23"/>
      <c r="BE143" s="23"/>
      <c r="BF143" s="23"/>
      <c r="BG143" s="23"/>
      <c r="BH143" s="23"/>
      <c r="BI143" s="23"/>
      <c r="BJ143" s="23"/>
      <c r="BK143" s="23"/>
      <c r="BL143" s="23"/>
      <c r="BM143" s="23"/>
      <c r="BN143" s="23"/>
      <c r="BO143" s="23"/>
      <c r="BP143" s="23"/>
      <c r="BQ143" s="23"/>
      <c r="BR143" s="23"/>
      <c r="BS143" s="23"/>
    </row>
    <row r="144" spans="1:71" ht="151.5" hidden="1" customHeight="1" x14ac:dyDescent="0.25">
      <c r="A144" s="212"/>
      <c r="B144" s="215"/>
      <c r="C144" s="212"/>
      <c r="D144" s="212"/>
      <c r="E144" s="218"/>
      <c r="F144" s="218"/>
      <c r="G144" s="218"/>
      <c r="H144" s="220"/>
      <c r="I144" s="218"/>
      <c r="J144" s="222"/>
      <c r="K144" s="203"/>
      <c r="L144" s="206"/>
      <c r="M144" s="208"/>
      <c r="N144" s="150"/>
      <c r="O144" s="203"/>
      <c r="P144" s="206"/>
      <c r="Q144" s="211"/>
      <c r="R144" s="100">
        <v>3</v>
      </c>
      <c r="S144" s="101"/>
      <c r="T144" s="102" t="str">
        <f t="shared" si="211"/>
        <v/>
      </c>
      <c r="U144" s="103"/>
      <c r="V144" s="103"/>
      <c r="W144" s="104" t="str">
        <f t="shared" si="212"/>
        <v/>
      </c>
      <c r="X144" s="103"/>
      <c r="Y144" s="103"/>
      <c r="Z144" s="103"/>
      <c r="AA144" s="105" t="str">
        <f t="shared" si="213"/>
        <v/>
      </c>
      <c r="AB144" s="106" t="str">
        <f t="shared" si="214"/>
        <v/>
      </c>
      <c r="AC144" s="107" t="str">
        <f t="shared" si="215"/>
        <v/>
      </c>
      <c r="AD144" s="106" t="str">
        <f t="shared" si="216"/>
        <v/>
      </c>
      <c r="AE144" s="107" t="str">
        <f t="shared" si="217"/>
        <v/>
      </c>
      <c r="AF144" s="108" t="str">
        <f t="shared" si="218"/>
        <v/>
      </c>
      <c r="AG144" s="109"/>
      <c r="AH144" s="110"/>
      <c r="AI144" s="111"/>
      <c r="AJ144" s="112"/>
      <c r="AK144" s="112"/>
      <c r="AL144" s="110"/>
      <c r="AM144" s="111"/>
      <c r="AN144" s="23"/>
      <c r="AO144" s="23"/>
      <c r="AP144" s="23"/>
      <c r="AQ144" s="23"/>
      <c r="AR144" s="23"/>
      <c r="AS144" s="23"/>
      <c r="AT144" s="23"/>
      <c r="AU144" s="23"/>
      <c r="AV144" s="23"/>
      <c r="AW144" s="23"/>
      <c r="AX144" s="23"/>
      <c r="AY144" s="23"/>
      <c r="AZ144" s="23"/>
      <c r="BA144" s="23"/>
      <c r="BB144" s="23"/>
      <c r="BC144" s="23"/>
      <c r="BD144" s="23"/>
      <c r="BE144" s="23"/>
      <c r="BF144" s="23"/>
      <c r="BG144" s="23"/>
      <c r="BH144" s="23"/>
      <c r="BI144" s="23"/>
      <c r="BJ144" s="23"/>
      <c r="BK144" s="23"/>
      <c r="BL144" s="23"/>
      <c r="BM144" s="23"/>
      <c r="BN144" s="23"/>
      <c r="BO144" s="23"/>
      <c r="BP144" s="23"/>
      <c r="BQ144" s="23"/>
      <c r="BR144" s="23"/>
      <c r="BS144" s="23"/>
    </row>
    <row r="145" spans="1:71" ht="151.5" hidden="1" customHeight="1" x14ac:dyDescent="0.25">
      <c r="A145" s="212">
        <v>47</v>
      </c>
      <c r="B145" s="213"/>
      <c r="C145" s="216"/>
      <c r="D145" s="216"/>
      <c r="E145" s="217"/>
      <c r="F145" s="217"/>
      <c r="G145" s="217"/>
      <c r="H145" s="219"/>
      <c r="I145" s="217"/>
      <c r="J145" s="221"/>
      <c r="K145" s="201" t="str">
        <f>IF(J145&lt;=0,"",IF(J145&lt;=2,"Muy Baja",IF(J145&lt;=24,"Baja",IF(J145&lt;=500,"Media",IF(J145&lt;=5000,"Alta","Muy Alta")))))</f>
        <v/>
      </c>
      <c r="L145" s="204" t="str">
        <f>IF(K145="","",IF(K145="Muy Baja",0.2,IF(K145="Baja",0.4,IF(K145="Media",0.6,IF(K145="Alta",0.8,IF(K145="Muy Alta",1,))))))</f>
        <v/>
      </c>
      <c r="M145" s="207"/>
      <c r="N145" s="149">
        <f>IF(NOT(ISERROR(MATCH(M145,'Tabla Impacto'!$B$221:$B$223,0))),'Tabla Impacto'!$F$223&amp;"Por favor no seleccionar los criterios de impacto(Afectación Económica o presupuestal y Pérdida Reputacional)",M145)</f>
        <v>0</v>
      </c>
      <c r="O145" s="201" t="str">
        <f>IF(OR(N145='Tabla Impacto'!$C$11,N145='Tabla Impacto'!$D$11),"Leve",IF(OR(N145='Tabla Impacto'!$C$12,N145='Tabla Impacto'!$D$12),"Menor",IF(OR(N145='Tabla Impacto'!$C$13,N145='Tabla Impacto'!$D$13),"Moderado",IF(OR(N145='Tabla Impacto'!$C$14,N145='Tabla Impacto'!$D$14),"Mayor",IF(OR(N145='Tabla Impacto'!$C$15,N145='Tabla Impacto'!$D$15),"Catastrófico","")))))</f>
        <v/>
      </c>
      <c r="P145" s="204" t="str">
        <f>IF(O145="","",IF(O145="Leve",0.2,IF(O145="Menor",0.4,IF(O145="Moderado",0.6,IF(O145="Mayor",0.8,IF(O145="Catastrófico",1,))))))</f>
        <v/>
      </c>
      <c r="Q145" s="209" t="str">
        <f>IF(OR(AND(K145="Muy Baja",O145="Leve"),AND(K145="Muy Baja",O145="Menor"),AND(K145="Baja",O145="Leve")),"Bajo",IF(OR(AND(K145="Muy baja",O145="Moderado"),AND(K145="Baja",O145="Menor"),AND(K145="Baja",O145="Moderado"),AND(K145="Media",O145="Leve"),AND(K145="Media",O145="Menor"),AND(K145="Media",O145="Moderado"),AND(K145="Alta",O145="Leve"),AND(K145="Alta",O145="Menor")),"Moderado",IF(OR(AND(K145="Muy Baja",O145="Mayor"),AND(K145="Baja",O145="Mayor"),AND(K145="Media",O145="Mayor"),AND(K145="Alta",O145="Moderado"),AND(K145="Alta",O145="Mayor"),AND(K145="Muy Alta",O145="Leve"),AND(K145="Muy Alta",O145="Menor"),AND(K145="Muy Alta",O145="Moderado"),AND(K145="Muy Alta",O145="Mayor")),"Alto",IF(OR(AND(K145="Muy Baja",O145="Catastrófico"),AND(K145="Baja",O145="Catastrófico"),AND(K145="Media",O145="Catastrófico"),AND(K145="Alta",O145="Catastrófico"),AND(K145="Muy Alta",O145="Catastrófico")),"Extremo",""))))</f>
        <v/>
      </c>
      <c r="R145" s="100">
        <v>1</v>
      </c>
      <c r="S145" s="101"/>
      <c r="T145" s="102" t="str">
        <f t="shared" si="211"/>
        <v/>
      </c>
      <c r="U145" s="103"/>
      <c r="V145" s="103"/>
      <c r="W145" s="104" t="str">
        <f t="shared" si="212"/>
        <v/>
      </c>
      <c r="X145" s="103"/>
      <c r="Y145" s="103"/>
      <c r="Z145" s="103"/>
      <c r="AA145" s="105" t="str">
        <f t="shared" si="213"/>
        <v/>
      </c>
      <c r="AB145" s="106" t="str">
        <f t="shared" si="214"/>
        <v/>
      </c>
      <c r="AC145" s="107" t="str">
        <f t="shared" si="215"/>
        <v/>
      </c>
      <c r="AD145" s="106" t="str">
        <f t="shared" si="216"/>
        <v/>
      </c>
      <c r="AE145" s="107" t="str">
        <f t="shared" si="217"/>
        <v/>
      </c>
      <c r="AF145" s="108" t="str">
        <f t="shared" si="218"/>
        <v/>
      </c>
      <c r="AG145" s="109"/>
      <c r="AH145" s="110"/>
      <c r="AI145" s="111"/>
      <c r="AJ145" s="112"/>
      <c r="AK145" s="112"/>
      <c r="AL145" s="110"/>
      <c r="AM145" s="111"/>
      <c r="AN145" s="23"/>
      <c r="AO145" s="23"/>
      <c r="AP145" s="23"/>
      <c r="AQ145" s="23"/>
      <c r="AR145" s="23"/>
      <c r="AS145" s="23"/>
      <c r="AT145" s="23"/>
      <c r="AU145" s="23"/>
      <c r="AV145" s="23"/>
      <c r="AW145" s="23"/>
      <c r="AX145" s="23"/>
      <c r="AY145" s="23"/>
      <c r="AZ145" s="23"/>
      <c r="BA145" s="23"/>
      <c r="BB145" s="23"/>
      <c r="BC145" s="23"/>
      <c r="BD145" s="23"/>
      <c r="BE145" s="23"/>
      <c r="BF145" s="23"/>
      <c r="BG145" s="23"/>
      <c r="BH145" s="23"/>
      <c r="BI145" s="23"/>
      <c r="BJ145" s="23"/>
      <c r="BK145" s="23"/>
      <c r="BL145" s="23"/>
      <c r="BM145" s="23"/>
      <c r="BN145" s="23"/>
      <c r="BO145" s="23"/>
      <c r="BP145" s="23"/>
      <c r="BQ145" s="23"/>
      <c r="BR145" s="23"/>
      <c r="BS145" s="23"/>
    </row>
    <row r="146" spans="1:71" ht="151.5" hidden="1" customHeight="1" x14ac:dyDescent="0.25">
      <c r="A146" s="212"/>
      <c r="B146" s="214"/>
      <c r="C146" s="212"/>
      <c r="D146" s="212"/>
      <c r="E146" s="218"/>
      <c r="F146" s="218"/>
      <c r="G146" s="218"/>
      <c r="H146" s="220"/>
      <c r="I146" s="218"/>
      <c r="J146" s="222"/>
      <c r="K146" s="202"/>
      <c r="L146" s="205"/>
      <c r="M146" s="208"/>
      <c r="N146" s="150"/>
      <c r="O146" s="202"/>
      <c r="P146" s="205"/>
      <c r="Q146" s="210"/>
      <c r="R146" s="100">
        <v>2</v>
      </c>
      <c r="S146" s="101"/>
      <c r="T146" s="102" t="str">
        <f t="shared" si="211"/>
        <v/>
      </c>
      <c r="U146" s="103"/>
      <c r="V146" s="103"/>
      <c r="W146" s="104" t="str">
        <f t="shared" si="212"/>
        <v/>
      </c>
      <c r="X146" s="103"/>
      <c r="Y146" s="103"/>
      <c r="Z146" s="103"/>
      <c r="AA146" s="105" t="str">
        <f t="shared" si="213"/>
        <v/>
      </c>
      <c r="AB146" s="106" t="str">
        <f t="shared" si="214"/>
        <v/>
      </c>
      <c r="AC146" s="107" t="str">
        <f t="shared" si="215"/>
        <v/>
      </c>
      <c r="AD146" s="106" t="str">
        <f t="shared" si="216"/>
        <v/>
      </c>
      <c r="AE146" s="107" t="str">
        <f t="shared" si="217"/>
        <v/>
      </c>
      <c r="AF146" s="108" t="str">
        <f t="shared" si="218"/>
        <v/>
      </c>
      <c r="AG146" s="109"/>
      <c r="AH146" s="110"/>
      <c r="AI146" s="111"/>
      <c r="AJ146" s="112"/>
      <c r="AK146" s="112"/>
      <c r="AL146" s="110"/>
      <c r="AM146" s="111"/>
      <c r="AN146" s="23"/>
      <c r="AO146" s="23"/>
      <c r="AP146" s="23"/>
      <c r="AQ146" s="23"/>
      <c r="AR146" s="23"/>
      <c r="AS146" s="23"/>
      <c r="AT146" s="23"/>
      <c r="AU146" s="23"/>
      <c r="AV146" s="23"/>
      <c r="AW146" s="23"/>
      <c r="AX146" s="23"/>
      <c r="AY146" s="23"/>
      <c r="AZ146" s="23"/>
      <c r="BA146" s="23"/>
      <c r="BB146" s="23"/>
      <c r="BC146" s="23"/>
      <c r="BD146" s="23"/>
      <c r="BE146" s="23"/>
      <c r="BF146" s="23"/>
      <c r="BG146" s="23"/>
      <c r="BH146" s="23"/>
      <c r="BI146" s="23"/>
      <c r="BJ146" s="23"/>
      <c r="BK146" s="23"/>
      <c r="BL146" s="23"/>
      <c r="BM146" s="23"/>
      <c r="BN146" s="23"/>
      <c r="BO146" s="23"/>
      <c r="BP146" s="23"/>
      <c r="BQ146" s="23"/>
      <c r="BR146" s="23"/>
      <c r="BS146" s="23"/>
    </row>
    <row r="147" spans="1:71" ht="151.5" hidden="1" customHeight="1" x14ac:dyDescent="0.25">
      <c r="A147" s="212"/>
      <c r="B147" s="215"/>
      <c r="C147" s="212"/>
      <c r="D147" s="212"/>
      <c r="E147" s="218"/>
      <c r="F147" s="218"/>
      <c r="G147" s="218"/>
      <c r="H147" s="220"/>
      <c r="I147" s="218"/>
      <c r="J147" s="222"/>
      <c r="K147" s="203"/>
      <c r="L147" s="206"/>
      <c r="M147" s="208"/>
      <c r="N147" s="150"/>
      <c r="O147" s="203"/>
      <c r="P147" s="206"/>
      <c r="Q147" s="211"/>
      <c r="R147" s="100">
        <v>3</v>
      </c>
      <c r="S147" s="101"/>
      <c r="T147" s="102" t="str">
        <f t="shared" si="211"/>
        <v/>
      </c>
      <c r="U147" s="103"/>
      <c r="V147" s="103"/>
      <c r="W147" s="104" t="str">
        <f t="shared" si="212"/>
        <v/>
      </c>
      <c r="X147" s="103"/>
      <c r="Y147" s="103"/>
      <c r="Z147" s="103"/>
      <c r="AA147" s="105" t="str">
        <f t="shared" si="213"/>
        <v/>
      </c>
      <c r="AB147" s="106" t="str">
        <f t="shared" si="214"/>
        <v/>
      </c>
      <c r="AC147" s="107" t="str">
        <f t="shared" si="215"/>
        <v/>
      </c>
      <c r="AD147" s="106" t="str">
        <f t="shared" si="216"/>
        <v/>
      </c>
      <c r="AE147" s="107" t="str">
        <f t="shared" si="217"/>
        <v/>
      </c>
      <c r="AF147" s="108" t="str">
        <f t="shared" si="218"/>
        <v/>
      </c>
      <c r="AG147" s="109"/>
      <c r="AH147" s="110"/>
      <c r="AI147" s="111"/>
      <c r="AJ147" s="112"/>
      <c r="AK147" s="112"/>
      <c r="AL147" s="110"/>
      <c r="AM147" s="111"/>
      <c r="AN147" s="23"/>
      <c r="AO147" s="23"/>
      <c r="AP147" s="23"/>
      <c r="AQ147" s="23"/>
      <c r="AR147" s="23"/>
      <c r="AS147" s="23"/>
      <c r="AT147" s="23"/>
      <c r="AU147" s="23"/>
      <c r="AV147" s="23"/>
      <c r="AW147" s="23"/>
      <c r="AX147" s="23"/>
      <c r="AY147" s="23"/>
      <c r="AZ147" s="23"/>
      <c r="BA147" s="23"/>
      <c r="BB147" s="23"/>
      <c r="BC147" s="23"/>
      <c r="BD147" s="23"/>
      <c r="BE147" s="23"/>
      <c r="BF147" s="23"/>
      <c r="BG147" s="23"/>
      <c r="BH147" s="23"/>
      <c r="BI147" s="23"/>
      <c r="BJ147" s="23"/>
      <c r="BK147" s="23"/>
      <c r="BL147" s="23"/>
      <c r="BM147" s="23"/>
      <c r="BN147" s="23"/>
      <c r="BO147" s="23"/>
      <c r="BP147" s="23"/>
      <c r="BQ147" s="23"/>
      <c r="BR147" s="23"/>
      <c r="BS147" s="23"/>
    </row>
    <row r="148" spans="1:71" ht="151.5" hidden="1" customHeight="1" x14ac:dyDescent="0.25">
      <c r="A148" s="212">
        <v>48</v>
      </c>
      <c r="B148" s="213"/>
      <c r="C148" s="216"/>
      <c r="D148" s="216"/>
      <c r="E148" s="217"/>
      <c r="F148" s="217"/>
      <c r="G148" s="217"/>
      <c r="H148" s="219"/>
      <c r="I148" s="217"/>
      <c r="J148" s="221"/>
      <c r="K148" s="201" t="str">
        <f>IF(J148&lt;=0,"",IF(J148&lt;=2,"Muy Baja",IF(J148&lt;=24,"Baja",IF(J148&lt;=500,"Media",IF(J148&lt;=5000,"Alta","Muy Alta")))))</f>
        <v/>
      </c>
      <c r="L148" s="204" t="str">
        <f>IF(K148="","",IF(K148="Muy Baja",0.2,IF(K148="Baja",0.4,IF(K148="Media",0.6,IF(K148="Alta",0.8,IF(K148="Muy Alta",1,))))))</f>
        <v/>
      </c>
      <c r="M148" s="207"/>
      <c r="N148" s="149">
        <f>IF(NOT(ISERROR(MATCH(M148,'Tabla Impacto'!$B$221:$B$223,0))),'Tabla Impacto'!$F$223&amp;"Por favor no seleccionar los criterios de impacto(Afectación Económica o presupuestal y Pérdida Reputacional)",M148)</f>
        <v>0</v>
      </c>
      <c r="O148" s="201" t="str">
        <f>IF(OR(N148='Tabla Impacto'!$C$11,N148='Tabla Impacto'!$D$11),"Leve",IF(OR(N148='Tabla Impacto'!$C$12,N148='Tabla Impacto'!$D$12),"Menor",IF(OR(N148='Tabla Impacto'!$C$13,N148='Tabla Impacto'!$D$13),"Moderado",IF(OR(N148='Tabla Impacto'!$C$14,N148='Tabla Impacto'!$D$14),"Mayor",IF(OR(N148='Tabla Impacto'!$C$15,N148='Tabla Impacto'!$D$15),"Catastrófico","")))))</f>
        <v/>
      </c>
      <c r="P148" s="204" t="str">
        <f>IF(O148="","",IF(O148="Leve",0.2,IF(O148="Menor",0.4,IF(O148="Moderado",0.6,IF(O148="Mayor",0.8,IF(O148="Catastrófico",1,))))))</f>
        <v/>
      </c>
      <c r="Q148" s="209" t="str">
        <f>IF(OR(AND(K148="Muy Baja",O148="Leve"),AND(K148="Muy Baja",O148="Menor"),AND(K148="Baja",O148="Leve")),"Bajo",IF(OR(AND(K148="Muy baja",O148="Moderado"),AND(K148="Baja",O148="Menor"),AND(K148="Baja",O148="Moderado"),AND(K148="Media",O148="Leve"),AND(K148="Media",O148="Menor"),AND(K148="Media",O148="Moderado"),AND(K148="Alta",O148="Leve"),AND(K148="Alta",O148="Menor")),"Moderado",IF(OR(AND(K148="Muy Baja",O148="Mayor"),AND(K148="Baja",O148="Mayor"),AND(K148="Media",O148="Mayor"),AND(K148="Alta",O148="Moderado"),AND(K148="Alta",O148="Mayor"),AND(K148="Muy Alta",O148="Leve"),AND(K148="Muy Alta",O148="Menor"),AND(K148="Muy Alta",O148="Moderado"),AND(K148="Muy Alta",O148="Mayor")),"Alto",IF(OR(AND(K148="Muy Baja",O148="Catastrófico"),AND(K148="Baja",O148="Catastrófico"),AND(K148="Media",O148="Catastrófico"),AND(K148="Alta",O148="Catastrófico"),AND(K148="Muy Alta",O148="Catastrófico")),"Extremo",""))))</f>
        <v/>
      </c>
      <c r="R148" s="100">
        <v>1</v>
      </c>
      <c r="S148" s="101"/>
      <c r="T148" s="102" t="str">
        <f t="shared" si="211"/>
        <v/>
      </c>
      <c r="U148" s="103"/>
      <c r="V148" s="103"/>
      <c r="W148" s="104" t="str">
        <f t="shared" si="212"/>
        <v/>
      </c>
      <c r="X148" s="103"/>
      <c r="Y148" s="103"/>
      <c r="Z148" s="103"/>
      <c r="AA148" s="105" t="str">
        <f t="shared" si="213"/>
        <v/>
      </c>
      <c r="AB148" s="106" t="str">
        <f t="shared" si="214"/>
        <v/>
      </c>
      <c r="AC148" s="107" t="str">
        <f t="shared" si="215"/>
        <v/>
      </c>
      <c r="AD148" s="106" t="str">
        <f t="shared" si="216"/>
        <v/>
      </c>
      <c r="AE148" s="107" t="str">
        <f t="shared" si="217"/>
        <v/>
      </c>
      <c r="AF148" s="108" t="str">
        <f t="shared" si="218"/>
        <v/>
      </c>
      <c r="AG148" s="109"/>
      <c r="AH148" s="110"/>
      <c r="AI148" s="111"/>
      <c r="AJ148" s="112"/>
      <c r="AK148" s="112"/>
      <c r="AL148" s="110"/>
      <c r="AM148" s="111"/>
      <c r="AN148" s="23"/>
      <c r="AO148" s="23"/>
      <c r="AP148" s="23"/>
      <c r="AQ148" s="23"/>
      <c r="AR148" s="23"/>
      <c r="AS148" s="23"/>
      <c r="AT148" s="23"/>
      <c r="AU148" s="23"/>
      <c r="AV148" s="23"/>
      <c r="AW148" s="23"/>
      <c r="AX148" s="23"/>
      <c r="AY148" s="23"/>
      <c r="AZ148" s="23"/>
      <c r="BA148" s="23"/>
      <c r="BB148" s="23"/>
      <c r="BC148" s="23"/>
      <c r="BD148" s="23"/>
      <c r="BE148" s="23"/>
      <c r="BF148" s="23"/>
      <c r="BG148" s="23"/>
      <c r="BH148" s="23"/>
      <c r="BI148" s="23"/>
      <c r="BJ148" s="23"/>
      <c r="BK148" s="23"/>
      <c r="BL148" s="23"/>
      <c r="BM148" s="23"/>
      <c r="BN148" s="23"/>
      <c r="BO148" s="23"/>
      <c r="BP148" s="23"/>
      <c r="BQ148" s="23"/>
      <c r="BR148" s="23"/>
      <c r="BS148" s="23"/>
    </row>
    <row r="149" spans="1:71" ht="151.5" hidden="1" customHeight="1" x14ac:dyDescent="0.25">
      <c r="A149" s="212"/>
      <c r="B149" s="214"/>
      <c r="C149" s="212"/>
      <c r="D149" s="212"/>
      <c r="E149" s="218"/>
      <c r="F149" s="218"/>
      <c r="G149" s="218"/>
      <c r="H149" s="220"/>
      <c r="I149" s="218"/>
      <c r="J149" s="222"/>
      <c r="K149" s="202"/>
      <c r="L149" s="205"/>
      <c r="M149" s="208"/>
      <c r="N149" s="150"/>
      <c r="O149" s="202"/>
      <c r="P149" s="205"/>
      <c r="Q149" s="210"/>
      <c r="R149" s="100">
        <v>2</v>
      </c>
      <c r="S149" s="101"/>
      <c r="T149" s="102" t="str">
        <f t="shared" si="211"/>
        <v/>
      </c>
      <c r="U149" s="103"/>
      <c r="V149" s="103"/>
      <c r="W149" s="104" t="str">
        <f t="shared" si="212"/>
        <v/>
      </c>
      <c r="X149" s="103"/>
      <c r="Y149" s="103"/>
      <c r="Z149" s="103"/>
      <c r="AA149" s="105" t="str">
        <f t="shared" si="213"/>
        <v/>
      </c>
      <c r="AB149" s="106" t="str">
        <f t="shared" si="214"/>
        <v/>
      </c>
      <c r="AC149" s="107" t="str">
        <f t="shared" si="215"/>
        <v/>
      </c>
      <c r="AD149" s="106" t="str">
        <f t="shared" si="216"/>
        <v/>
      </c>
      <c r="AE149" s="107" t="str">
        <f t="shared" si="217"/>
        <v/>
      </c>
      <c r="AF149" s="108" t="str">
        <f t="shared" si="218"/>
        <v/>
      </c>
      <c r="AG149" s="109"/>
      <c r="AH149" s="110"/>
      <c r="AI149" s="111"/>
      <c r="AJ149" s="112"/>
      <c r="AK149" s="112"/>
      <c r="AL149" s="110"/>
      <c r="AM149" s="111"/>
      <c r="AN149" s="23"/>
      <c r="AO149" s="23"/>
      <c r="AP149" s="23"/>
      <c r="AQ149" s="23"/>
      <c r="AR149" s="23"/>
      <c r="AS149" s="23"/>
      <c r="AT149" s="23"/>
      <c r="AU149" s="23"/>
      <c r="AV149" s="23"/>
      <c r="AW149" s="23"/>
      <c r="AX149" s="23"/>
      <c r="AY149" s="23"/>
      <c r="AZ149" s="23"/>
      <c r="BA149" s="23"/>
      <c r="BB149" s="23"/>
      <c r="BC149" s="23"/>
      <c r="BD149" s="23"/>
      <c r="BE149" s="23"/>
      <c r="BF149" s="23"/>
      <c r="BG149" s="23"/>
      <c r="BH149" s="23"/>
      <c r="BI149" s="23"/>
      <c r="BJ149" s="23"/>
      <c r="BK149" s="23"/>
      <c r="BL149" s="23"/>
      <c r="BM149" s="23"/>
      <c r="BN149" s="23"/>
      <c r="BO149" s="23"/>
      <c r="BP149" s="23"/>
      <c r="BQ149" s="23"/>
      <c r="BR149" s="23"/>
      <c r="BS149" s="23"/>
    </row>
    <row r="150" spans="1:71" ht="151.5" hidden="1" customHeight="1" x14ac:dyDescent="0.25">
      <c r="A150" s="212"/>
      <c r="B150" s="215"/>
      <c r="C150" s="212"/>
      <c r="D150" s="212"/>
      <c r="E150" s="218"/>
      <c r="F150" s="218"/>
      <c r="G150" s="218"/>
      <c r="H150" s="220"/>
      <c r="I150" s="218"/>
      <c r="J150" s="222"/>
      <c r="K150" s="203"/>
      <c r="L150" s="206"/>
      <c r="M150" s="208"/>
      <c r="N150" s="150"/>
      <c r="O150" s="203"/>
      <c r="P150" s="206"/>
      <c r="Q150" s="211"/>
      <c r="R150" s="100">
        <v>3</v>
      </c>
      <c r="S150" s="101"/>
      <c r="T150" s="102" t="str">
        <f t="shared" si="211"/>
        <v/>
      </c>
      <c r="U150" s="103"/>
      <c r="V150" s="103"/>
      <c r="W150" s="104" t="str">
        <f t="shared" si="212"/>
        <v/>
      </c>
      <c r="X150" s="103"/>
      <c r="Y150" s="103"/>
      <c r="Z150" s="103"/>
      <c r="AA150" s="105" t="str">
        <f t="shared" si="213"/>
        <v/>
      </c>
      <c r="AB150" s="106" t="str">
        <f t="shared" si="214"/>
        <v/>
      </c>
      <c r="AC150" s="107" t="str">
        <f t="shared" si="215"/>
        <v/>
      </c>
      <c r="AD150" s="106" t="str">
        <f t="shared" si="216"/>
        <v/>
      </c>
      <c r="AE150" s="107" t="str">
        <f t="shared" si="217"/>
        <v/>
      </c>
      <c r="AF150" s="108" t="str">
        <f t="shared" si="218"/>
        <v/>
      </c>
      <c r="AG150" s="109"/>
      <c r="AH150" s="110"/>
      <c r="AI150" s="111"/>
      <c r="AJ150" s="112"/>
      <c r="AK150" s="112"/>
      <c r="AL150" s="110"/>
      <c r="AM150" s="111"/>
      <c r="AN150" s="23"/>
      <c r="AO150" s="23"/>
      <c r="AP150" s="23"/>
      <c r="AQ150" s="23"/>
      <c r="AR150" s="23"/>
      <c r="AS150" s="23"/>
      <c r="AT150" s="23"/>
      <c r="AU150" s="23"/>
      <c r="AV150" s="23"/>
      <c r="AW150" s="23"/>
      <c r="AX150" s="23"/>
      <c r="AY150" s="23"/>
      <c r="AZ150" s="23"/>
      <c r="BA150" s="23"/>
      <c r="BB150" s="23"/>
      <c r="BC150" s="23"/>
      <c r="BD150" s="23"/>
      <c r="BE150" s="23"/>
      <c r="BF150" s="23"/>
      <c r="BG150" s="23"/>
      <c r="BH150" s="23"/>
      <c r="BI150" s="23"/>
      <c r="BJ150" s="23"/>
      <c r="BK150" s="23"/>
      <c r="BL150" s="23"/>
      <c r="BM150" s="23"/>
      <c r="BN150" s="23"/>
      <c r="BO150" s="23"/>
      <c r="BP150" s="23"/>
      <c r="BQ150" s="23"/>
      <c r="BR150" s="23"/>
      <c r="BS150" s="23"/>
    </row>
    <row r="151" spans="1:71" ht="151.5" hidden="1" customHeight="1" x14ac:dyDescent="0.25">
      <c r="A151" s="212">
        <v>49</v>
      </c>
      <c r="B151" s="213"/>
      <c r="C151" s="216"/>
      <c r="D151" s="216"/>
      <c r="E151" s="217"/>
      <c r="F151" s="217"/>
      <c r="G151" s="217"/>
      <c r="H151" s="219"/>
      <c r="I151" s="217"/>
      <c r="J151" s="221"/>
      <c r="K151" s="201" t="str">
        <f>IF(J151&lt;=0,"",IF(J151&lt;=2,"Muy Baja",IF(J151&lt;=24,"Baja",IF(J151&lt;=500,"Media",IF(J151&lt;=5000,"Alta","Muy Alta")))))</f>
        <v/>
      </c>
      <c r="L151" s="204" t="str">
        <f>IF(K151="","",IF(K151="Muy Baja",0.2,IF(K151="Baja",0.4,IF(K151="Media",0.6,IF(K151="Alta",0.8,IF(K151="Muy Alta",1,))))))</f>
        <v/>
      </c>
      <c r="M151" s="207"/>
      <c r="N151" s="149">
        <f>IF(NOT(ISERROR(MATCH(M151,'Tabla Impacto'!$B$221:$B$223,0))),'Tabla Impacto'!$F$223&amp;"Por favor no seleccionar los criterios de impacto(Afectación Económica o presupuestal y Pérdida Reputacional)",M151)</f>
        <v>0</v>
      </c>
      <c r="O151" s="201" t="str">
        <f>IF(OR(N151='Tabla Impacto'!$C$11,N151='Tabla Impacto'!$D$11),"Leve",IF(OR(N151='Tabla Impacto'!$C$12,N151='Tabla Impacto'!$D$12),"Menor",IF(OR(N151='Tabla Impacto'!$C$13,N151='Tabla Impacto'!$D$13),"Moderado",IF(OR(N151='Tabla Impacto'!$C$14,N151='Tabla Impacto'!$D$14),"Mayor",IF(OR(N151='Tabla Impacto'!$C$15,N151='Tabla Impacto'!$D$15),"Catastrófico","")))))</f>
        <v/>
      </c>
      <c r="P151" s="204" t="str">
        <f>IF(O151="","",IF(O151="Leve",0.2,IF(O151="Menor",0.4,IF(O151="Moderado",0.6,IF(O151="Mayor",0.8,IF(O151="Catastrófico",1,))))))</f>
        <v/>
      </c>
      <c r="Q151" s="209" t="str">
        <f>IF(OR(AND(K151="Muy Baja",O151="Leve"),AND(K151="Muy Baja",O151="Menor"),AND(K151="Baja",O151="Leve")),"Bajo",IF(OR(AND(K151="Muy baja",O151="Moderado"),AND(K151="Baja",O151="Menor"),AND(K151="Baja",O151="Moderado"),AND(K151="Media",O151="Leve"),AND(K151="Media",O151="Menor"),AND(K151="Media",O151="Moderado"),AND(K151="Alta",O151="Leve"),AND(K151="Alta",O151="Menor")),"Moderado",IF(OR(AND(K151="Muy Baja",O151="Mayor"),AND(K151="Baja",O151="Mayor"),AND(K151="Media",O151="Mayor"),AND(K151="Alta",O151="Moderado"),AND(K151="Alta",O151="Mayor"),AND(K151="Muy Alta",O151="Leve"),AND(K151="Muy Alta",O151="Menor"),AND(K151="Muy Alta",O151="Moderado"),AND(K151="Muy Alta",O151="Mayor")),"Alto",IF(OR(AND(K151="Muy Baja",O151="Catastrófico"),AND(K151="Baja",O151="Catastrófico"),AND(K151="Media",O151="Catastrófico"),AND(K151="Alta",O151="Catastrófico"),AND(K151="Muy Alta",O151="Catastrófico")),"Extremo",""))))</f>
        <v/>
      </c>
      <c r="R151" s="100">
        <v>1</v>
      </c>
      <c r="S151" s="101"/>
      <c r="T151" s="102" t="str">
        <f t="shared" si="211"/>
        <v/>
      </c>
      <c r="U151" s="103"/>
      <c r="V151" s="103"/>
      <c r="W151" s="104" t="str">
        <f t="shared" si="212"/>
        <v/>
      </c>
      <c r="X151" s="103"/>
      <c r="Y151" s="103"/>
      <c r="Z151" s="103"/>
      <c r="AA151" s="105" t="str">
        <f t="shared" si="213"/>
        <v/>
      </c>
      <c r="AB151" s="106" t="str">
        <f t="shared" si="214"/>
        <v/>
      </c>
      <c r="AC151" s="107" t="str">
        <f t="shared" si="215"/>
        <v/>
      </c>
      <c r="AD151" s="106" t="str">
        <f t="shared" si="216"/>
        <v/>
      </c>
      <c r="AE151" s="107" t="str">
        <f t="shared" si="217"/>
        <v/>
      </c>
      <c r="AF151" s="108" t="str">
        <f t="shared" si="218"/>
        <v/>
      </c>
      <c r="AG151" s="109"/>
      <c r="AH151" s="110"/>
      <c r="AI151" s="111"/>
      <c r="AJ151" s="112"/>
      <c r="AK151" s="112"/>
      <c r="AL151" s="110"/>
      <c r="AM151" s="111"/>
      <c r="AN151" s="23"/>
      <c r="AO151" s="23"/>
      <c r="AP151" s="23"/>
      <c r="AQ151" s="23"/>
      <c r="AR151" s="23"/>
      <c r="AS151" s="23"/>
      <c r="AT151" s="23"/>
      <c r="AU151" s="23"/>
      <c r="AV151" s="23"/>
      <c r="AW151" s="23"/>
      <c r="AX151" s="23"/>
      <c r="AY151" s="23"/>
      <c r="AZ151" s="23"/>
      <c r="BA151" s="23"/>
      <c r="BB151" s="23"/>
      <c r="BC151" s="23"/>
      <c r="BD151" s="23"/>
      <c r="BE151" s="23"/>
      <c r="BF151" s="23"/>
      <c r="BG151" s="23"/>
      <c r="BH151" s="23"/>
      <c r="BI151" s="23"/>
      <c r="BJ151" s="23"/>
      <c r="BK151" s="23"/>
      <c r="BL151" s="23"/>
      <c r="BM151" s="23"/>
      <c r="BN151" s="23"/>
      <c r="BO151" s="23"/>
      <c r="BP151" s="23"/>
      <c r="BQ151" s="23"/>
      <c r="BR151" s="23"/>
      <c r="BS151" s="23"/>
    </row>
    <row r="152" spans="1:71" ht="151.5" hidden="1" customHeight="1" x14ac:dyDescent="0.25">
      <c r="A152" s="212"/>
      <c r="B152" s="214"/>
      <c r="C152" s="212"/>
      <c r="D152" s="212"/>
      <c r="E152" s="218"/>
      <c r="F152" s="218"/>
      <c r="G152" s="218"/>
      <c r="H152" s="220"/>
      <c r="I152" s="218"/>
      <c r="J152" s="222"/>
      <c r="K152" s="202"/>
      <c r="L152" s="205"/>
      <c r="M152" s="208"/>
      <c r="N152" s="150"/>
      <c r="O152" s="202"/>
      <c r="P152" s="205"/>
      <c r="Q152" s="210"/>
      <c r="R152" s="100">
        <v>2</v>
      </c>
      <c r="S152" s="101"/>
      <c r="T152" s="102" t="str">
        <f t="shared" si="211"/>
        <v/>
      </c>
      <c r="U152" s="103"/>
      <c r="V152" s="103"/>
      <c r="W152" s="104" t="str">
        <f t="shared" si="212"/>
        <v/>
      </c>
      <c r="X152" s="103"/>
      <c r="Y152" s="103"/>
      <c r="Z152" s="103"/>
      <c r="AA152" s="105" t="str">
        <f t="shared" si="213"/>
        <v/>
      </c>
      <c r="AB152" s="106" t="str">
        <f t="shared" si="214"/>
        <v/>
      </c>
      <c r="AC152" s="107" t="str">
        <f t="shared" si="215"/>
        <v/>
      </c>
      <c r="AD152" s="106" t="str">
        <f t="shared" si="216"/>
        <v/>
      </c>
      <c r="AE152" s="107" t="str">
        <f t="shared" si="217"/>
        <v/>
      </c>
      <c r="AF152" s="108" t="str">
        <f t="shared" si="218"/>
        <v/>
      </c>
      <c r="AG152" s="109"/>
      <c r="AH152" s="110"/>
      <c r="AI152" s="111"/>
      <c r="AJ152" s="112"/>
      <c r="AK152" s="112"/>
      <c r="AL152" s="110"/>
      <c r="AM152" s="111"/>
      <c r="AN152" s="23"/>
      <c r="AO152" s="23"/>
      <c r="AP152" s="23"/>
      <c r="AQ152" s="23"/>
      <c r="AR152" s="23"/>
      <c r="AS152" s="23"/>
      <c r="AT152" s="23"/>
      <c r="AU152" s="23"/>
      <c r="AV152" s="23"/>
      <c r="AW152" s="23"/>
      <c r="AX152" s="23"/>
      <c r="AY152" s="23"/>
      <c r="AZ152" s="23"/>
      <c r="BA152" s="23"/>
      <c r="BB152" s="23"/>
      <c r="BC152" s="23"/>
      <c r="BD152" s="23"/>
      <c r="BE152" s="23"/>
      <c r="BF152" s="23"/>
      <c r="BG152" s="23"/>
      <c r="BH152" s="23"/>
      <c r="BI152" s="23"/>
      <c r="BJ152" s="23"/>
      <c r="BK152" s="23"/>
      <c r="BL152" s="23"/>
      <c r="BM152" s="23"/>
      <c r="BN152" s="23"/>
      <c r="BO152" s="23"/>
      <c r="BP152" s="23"/>
      <c r="BQ152" s="23"/>
      <c r="BR152" s="23"/>
      <c r="BS152" s="23"/>
    </row>
    <row r="153" spans="1:71" ht="151.5" hidden="1" customHeight="1" x14ac:dyDescent="0.25">
      <c r="A153" s="212"/>
      <c r="B153" s="215"/>
      <c r="C153" s="212"/>
      <c r="D153" s="212"/>
      <c r="E153" s="218"/>
      <c r="F153" s="218"/>
      <c r="G153" s="218"/>
      <c r="H153" s="220"/>
      <c r="I153" s="218"/>
      <c r="J153" s="222"/>
      <c r="K153" s="203"/>
      <c r="L153" s="206"/>
      <c r="M153" s="208"/>
      <c r="N153" s="150"/>
      <c r="O153" s="203"/>
      <c r="P153" s="206"/>
      <c r="Q153" s="211"/>
      <c r="R153" s="100">
        <v>3</v>
      </c>
      <c r="S153" s="101"/>
      <c r="T153" s="102" t="str">
        <f t="shared" si="211"/>
        <v/>
      </c>
      <c r="U153" s="103"/>
      <c r="V153" s="103"/>
      <c r="W153" s="104" t="str">
        <f t="shared" si="212"/>
        <v/>
      </c>
      <c r="X153" s="103"/>
      <c r="Y153" s="103"/>
      <c r="Z153" s="103"/>
      <c r="AA153" s="105" t="str">
        <f t="shared" si="213"/>
        <v/>
      </c>
      <c r="AB153" s="106" t="str">
        <f t="shared" si="214"/>
        <v/>
      </c>
      <c r="AC153" s="107" t="str">
        <f t="shared" si="215"/>
        <v/>
      </c>
      <c r="AD153" s="106" t="str">
        <f t="shared" si="216"/>
        <v/>
      </c>
      <c r="AE153" s="107" t="str">
        <f t="shared" si="217"/>
        <v/>
      </c>
      <c r="AF153" s="108" t="str">
        <f t="shared" si="218"/>
        <v/>
      </c>
      <c r="AG153" s="109"/>
      <c r="AH153" s="110"/>
      <c r="AI153" s="111"/>
      <c r="AJ153" s="112"/>
      <c r="AK153" s="112"/>
      <c r="AL153" s="110"/>
      <c r="AM153" s="111"/>
      <c r="AN153" s="23"/>
      <c r="AO153" s="23"/>
      <c r="AP153" s="23"/>
      <c r="AQ153" s="23"/>
      <c r="AR153" s="23"/>
      <c r="AS153" s="23"/>
      <c r="AT153" s="23"/>
      <c r="AU153" s="23"/>
      <c r="AV153" s="23"/>
      <c r="AW153" s="23"/>
      <c r="AX153" s="23"/>
      <c r="AY153" s="23"/>
      <c r="AZ153" s="23"/>
      <c r="BA153" s="23"/>
      <c r="BB153" s="23"/>
      <c r="BC153" s="23"/>
      <c r="BD153" s="23"/>
      <c r="BE153" s="23"/>
      <c r="BF153" s="23"/>
      <c r="BG153" s="23"/>
      <c r="BH153" s="23"/>
      <c r="BI153" s="23"/>
      <c r="BJ153" s="23"/>
      <c r="BK153" s="23"/>
      <c r="BL153" s="23"/>
      <c r="BM153" s="23"/>
      <c r="BN153" s="23"/>
      <c r="BO153" s="23"/>
      <c r="BP153" s="23"/>
      <c r="BQ153" s="23"/>
      <c r="BR153" s="23"/>
      <c r="BS153" s="23"/>
    </row>
    <row r="154" spans="1:71" ht="49.5" customHeight="1" x14ac:dyDescent="0.25">
      <c r="A154" s="4"/>
      <c r="B154" s="99"/>
      <c r="C154" s="99"/>
      <c r="D154" s="99"/>
      <c r="E154" s="239" t="s">
        <v>124</v>
      </c>
      <c r="F154" s="240"/>
      <c r="G154" s="240"/>
      <c r="H154" s="240"/>
      <c r="I154" s="240"/>
      <c r="J154" s="240"/>
      <c r="K154" s="240"/>
      <c r="L154" s="240"/>
      <c r="M154" s="240"/>
      <c r="N154" s="240"/>
      <c r="O154" s="240"/>
      <c r="P154" s="240"/>
      <c r="Q154" s="240"/>
      <c r="R154" s="240"/>
      <c r="S154" s="240"/>
      <c r="T154" s="240"/>
      <c r="U154" s="240"/>
      <c r="V154" s="240"/>
      <c r="W154" s="240"/>
      <c r="X154" s="240"/>
      <c r="Y154" s="240"/>
      <c r="Z154" s="240"/>
      <c r="AA154" s="240"/>
      <c r="AB154" s="240"/>
      <c r="AC154" s="240"/>
      <c r="AD154" s="240"/>
      <c r="AE154" s="240"/>
      <c r="AF154" s="240"/>
      <c r="AG154" s="240"/>
      <c r="AH154" s="240"/>
      <c r="AI154" s="240"/>
      <c r="AJ154" s="240"/>
      <c r="AK154" s="240"/>
      <c r="AL154" s="240"/>
      <c r="AM154" s="241"/>
    </row>
    <row r="156" spans="1:71" x14ac:dyDescent="0.25">
      <c r="A156" s="2"/>
      <c r="B156" s="2"/>
      <c r="C156" s="2"/>
      <c r="D156" s="2"/>
      <c r="E156" s="21" t="s">
        <v>535</v>
      </c>
      <c r="F156" s="2"/>
      <c r="G156" s="2"/>
    </row>
  </sheetData>
  <dataConsolidate/>
  <mergeCells count="825">
    <mergeCell ref="AH5:AH6"/>
    <mergeCell ref="AM5:AM6"/>
    <mergeCell ref="AL5:AL6"/>
    <mergeCell ref="AK5:AK6"/>
    <mergeCell ref="AJ5:AJ6"/>
    <mergeCell ref="AI5:AI6"/>
    <mergeCell ref="AG5:AG6"/>
    <mergeCell ref="B5:B6"/>
    <mergeCell ref="C5:C6"/>
    <mergeCell ref="D5:D6"/>
    <mergeCell ref="AD5:AD6"/>
    <mergeCell ref="AB5:AB6"/>
    <mergeCell ref="AC5:AC6"/>
    <mergeCell ref="J5:J6"/>
    <mergeCell ref="K5:K6"/>
    <mergeCell ref="L5:L6"/>
    <mergeCell ref="O5:O6"/>
    <mergeCell ref="P5:P6"/>
    <mergeCell ref="E5:E6"/>
    <mergeCell ref="Q5:Q6"/>
    <mergeCell ref="M5:M6"/>
    <mergeCell ref="N5:N6"/>
    <mergeCell ref="T5:T6"/>
    <mergeCell ref="I7:I9"/>
    <mergeCell ref="J7:J9"/>
    <mergeCell ref="A7:A9"/>
    <mergeCell ref="B7:B9"/>
    <mergeCell ref="C7:C9"/>
    <mergeCell ref="D7:D9"/>
    <mergeCell ref="E154:AM154"/>
    <mergeCell ref="A1:AM2"/>
    <mergeCell ref="A4:J4"/>
    <mergeCell ref="K4:Q4"/>
    <mergeCell ref="R4:Z4"/>
    <mergeCell ref="AA4:AG4"/>
    <mergeCell ref="AH4:AM4"/>
    <mergeCell ref="R5:R6"/>
    <mergeCell ref="AF5:AF6"/>
    <mergeCell ref="AE5:AE6"/>
    <mergeCell ref="AA5:AA6"/>
    <mergeCell ref="S5:S6"/>
    <mergeCell ref="A5:A6"/>
    <mergeCell ref="I5:I6"/>
    <mergeCell ref="H5:H6"/>
    <mergeCell ref="G5:G6"/>
    <mergeCell ref="F5:F6"/>
    <mergeCell ref="U5:Z5"/>
    <mergeCell ref="Q7:Q9"/>
    <mergeCell ref="E7:E9"/>
    <mergeCell ref="A13:A15"/>
    <mergeCell ref="B13:B15"/>
    <mergeCell ref="C13:C15"/>
    <mergeCell ref="D13:D15"/>
    <mergeCell ref="E13:E15"/>
    <mergeCell ref="F13:F15"/>
    <mergeCell ref="G13:G15"/>
    <mergeCell ref="H13:H15"/>
    <mergeCell ref="I13:I15"/>
    <mergeCell ref="J13:J15"/>
    <mergeCell ref="K13:K15"/>
    <mergeCell ref="L13:L15"/>
    <mergeCell ref="M13:M15"/>
    <mergeCell ref="O13:O15"/>
    <mergeCell ref="K7:K9"/>
    <mergeCell ref="L7:L9"/>
    <mergeCell ref="M7:M9"/>
    <mergeCell ref="O7:O9"/>
    <mergeCell ref="P7:P9"/>
    <mergeCell ref="F7:F9"/>
    <mergeCell ref="G7:G9"/>
    <mergeCell ref="H7:H9"/>
    <mergeCell ref="Q13:Q15"/>
    <mergeCell ref="A16:A18"/>
    <mergeCell ref="B16:B18"/>
    <mergeCell ref="C16:C18"/>
    <mergeCell ref="D16:D18"/>
    <mergeCell ref="E16:E18"/>
    <mergeCell ref="F16:F18"/>
    <mergeCell ref="G16:G18"/>
    <mergeCell ref="H16:H18"/>
    <mergeCell ref="I16:I18"/>
    <mergeCell ref="J16:J18"/>
    <mergeCell ref="K16:K18"/>
    <mergeCell ref="L16:L18"/>
    <mergeCell ref="M16:M18"/>
    <mergeCell ref="O16:O18"/>
    <mergeCell ref="G10:G12"/>
    <mergeCell ref="H10:H12"/>
    <mergeCell ref="I10:I12"/>
    <mergeCell ref="J10:J12"/>
    <mergeCell ref="K10:K12"/>
    <mergeCell ref="L10:L12"/>
    <mergeCell ref="M10:M12"/>
    <mergeCell ref="O10:O12"/>
    <mergeCell ref="P13:P15"/>
    <mergeCell ref="P10:P12"/>
    <mergeCell ref="Q10:Q12"/>
    <mergeCell ref="A19:A21"/>
    <mergeCell ref="B19:B21"/>
    <mergeCell ref="C19:C21"/>
    <mergeCell ref="D19:D21"/>
    <mergeCell ref="E19:E21"/>
    <mergeCell ref="F19:F21"/>
    <mergeCell ref="G19:G21"/>
    <mergeCell ref="H19:H21"/>
    <mergeCell ref="I19:I21"/>
    <mergeCell ref="J19:J21"/>
    <mergeCell ref="K19:K21"/>
    <mergeCell ref="L19:L21"/>
    <mergeCell ref="M19:M21"/>
    <mergeCell ref="O19:O21"/>
    <mergeCell ref="P16:P18"/>
    <mergeCell ref="Q16:Q18"/>
    <mergeCell ref="A10:A12"/>
    <mergeCell ref="B10:B12"/>
    <mergeCell ref="C10:C12"/>
    <mergeCell ref="D10:D12"/>
    <mergeCell ref="E10:E12"/>
    <mergeCell ref="F10:F12"/>
    <mergeCell ref="P19:P21"/>
    <mergeCell ref="Q19:Q21"/>
    <mergeCell ref="B22:B24"/>
    <mergeCell ref="C22:C24"/>
    <mergeCell ref="D22:D24"/>
    <mergeCell ref="E22:E24"/>
    <mergeCell ref="F22:F24"/>
    <mergeCell ref="G22:G24"/>
    <mergeCell ref="H22:H24"/>
    <mergeCell ref="I22:I24"/>
    <mergeCell ref="J22:J24"/>
    <mergeCell ref="K22:K24"/>
    <mergeCell ref="L22:L24"/>
    <mergeCell ref="M22:M24"/>
    <mergeCell ref="O22:O24"/>
    <mergeCell ref="P22:P24"/>
    <mergeCell ref="Q22:Q24"/>
    <mergeCell ref="A22:A24"/>
    <mergeCell ref="A25:A27"/>
    <mergeCell ref="B25:B27"/>
    <mergeCell ref="C25:C27"/>
    <mergeCell ref="D25:D27"/>
    <mergeCell ref="E25:E27"/>
    <mergeCell ref="F25:F27"/>
    <mergeCell ref="G25:G27"/>
    <mergeCell ref="H25:H27"/>
    <mergeCell ref="Q25:Q27"/>
    <mergeCell ref="A28:A30"/>
    <mergeCell ref="B28:B30"/>
    <mergeCell ref="C28:C30"/>
    <mergeCell ref="D28:D30"/>
    <mergeCell ref="E28:E30"/>
    <mergeCell ref="F28:F30"/>
    <mergeCell ref="G28:G30"/>
    <mergeCell ref="H28:H30"/>
    <mergeCell ref="I28:I30"/>
    <mergeCell ref="J28:J30"/>
    <mergeCell ref="K28:K30"/>
    <mergeCell ref="L28:L30"/>
    <mergeCell ref="M28:M30"/>
    <mergeCell ref="O28:O30"/>
    <mergeCell ref="P28:P30"/>
    <mergeCell ref="Q28:Q30"/>
    <mergeCell ref="H31:H33"/>
    <mergeCell ref="I31:I33"/>
    <mergeCell ref="I25:I27"/>
    <mergeCell ref="J25:J27"/>
    <mergeCell ref="K25:K27"/>
    <mergeCell ref="L25:L27"/>
    <mergeCell ref="M25:M27"/>
    <mergeCell ref="O25:O27"/>
    <mergeCell ref="P25:P27"/>
    <mergeCell ref="P31:P33"/>
    <mergeCell ref="Q31:Q33"/>
    <mergeCell ref="P34:P36"/>
    <mergeCell ref="O34:O36"/>
    <mergeCell ref="Q34:Q36"/>
    <mergeCell ref="C34:C36"/>
    <mergeCell ref="B34:B36"/>
    <mergeCell ref="A34:A36"/>
    <mergeCell ref="J31:J33"/>
    <mergeCell ref="K31:K33"/>
    <mergeCell ref="L31:L33"/>
    <mergeCell ref="M31:M33"/>
    <mergeCell ref="O31:O33"/>
    <mergeCell ref="M34:M36"/>
    <mergeCell ref="L34:L36"/>
    <mergeCell ref="K34:K36"/>
    <mergeCell ref="J34:J36"/>
    <mergeCell ref="A31:A33"/>
    <mergeCell ref="B31:B33"/>
    <mergeCell ref="C31:C33"/>
    <mergeCell ref="D31:D33"/>
    <mergeCell ref="E31:E33"/>
    <mergeCell ref="F31:F33"/>
    <mergeCell ref="G31:G33"/>
    <mergeCell ref="H34:H36"/>
    <mergeCell ref="G34:G36"/>
    <mergeCell ref="F34:F36"/>
    <mergeCell ref="E34:E36"/>
    <mergeCell ref="D34:D36"/>
    <mergeCell ref="F37:F39"/>
    <mergeCell ref="G37:G39"/>
    <mergeCell ref="H37:H39"/>
    <mergeCell ref="I34:I36"/>
    <mergeCell ref="I37:I39"/>
    <mergeCell ref="J37:J39"/>
    <mergeCell ref="A40:A42"/>
    <mergeCell ref="B40:B42"/>
    <mergeCell ref="C37:C39"/>
    <mergeCell ref="D37:D39"/>
    <mergeCell ref="E37:E39"/>
    <mergeCell ref="L40:L42"/>
    <mergeCell ref="K40:K42"/>
    <mergeCell ref="J40:J42"/>
    <mergeCell ref="I40:I42"/>
    <mergeCell ref="H40:H42"/>
    <mergeCell ref="A37:A39"/>
    <mergeCell ref="B37:B39"/>
    <mergeCell ref="Q37:Q39"/>
    <mergeCell ref="Q40:Q42"/>
    <mergeCell ref="P40:P42"/>
    <mergeCell ref="O40:O42"/>
    <mergeCell ref="M40:M42"/>
    <mergeCell ref="K37:K39"/>
    <mergeCell ref="L37:L39"/>
    <mergeCell ref="M37:M39"/>
    <mergeCell ref="O37:O39"/>
    <mergeCell ref="P37:P39"/>
    <mergeCell ref="A43:A45"/>
    <mergeCell ref="B43:B45"/>
    <mergeCell ref="C43:C45"/>
    <mergeCell ref="D43:D45"/>
    <mergeCell ref="E43:E45"/>
    <mergeCell ref="G40:G42"/>
    <mergeCell ref="F40:F42"/>
    <mergeCell ref="E40:E42"/>
    <mergeCell ref="D40:D42"/>
    <mergeCell ref="C40:C42"/>
    <mergeCell ref="Q43:Q45"/>
    <mergeCell ref="K43:K45"/>
    <mergeCell ref="L43:L45"/>
    <mergeCell ref="M43:M45"/>
    <mergeCell ref="O43:O45"/>
    <mergeCell ref="P43:P45"/>
    <mergeCell ref="F43:F45"/>
    <mergeCell ref="G43:G45"/>
    <mergeCell ref="H43:H45"/>
    <mergeCell ref="I43:I45"/>
    <mergeCell ref="J43:J45"/>
    <mergeCell ref="A46:A48"/>
    <mergeCell ref="B46:B48"/>
    <mergeCell ref="C46:C48"/>
    <mergeCell ref="D46:D48"/>
    <mergeCell ref="E46:E48"/>
    <mergeCell ref="F46:F48"/>
    <mergeCell ref="G46:G48"/>
    <mergeCell ref="H46:H48"/>
    <mergeCell ref="I46:I48"/>
    <mergeCell ref="J46:J48"/>
    <mergeCell ref="K46:K48"/>
    <mergeCell ref="L46:L48"/>
    <mergeCell ref="M46:M48"/>
    <mergeCell ref="O46:O48"/>
    <mergeCell ref="P46:P48"/>
    <mergeCell ref="Q46:Q48"/>
    <mergeCell ref="J49:J51"/>
    <mergeCell ref="K49:K51"/>
    <mergeCell ref="L49:L51"/>
    <mergeCell ref="M49:M51"/>
    <mergeCell ref="O49:O51"/>
    <mergeCell ref="P49:P51"/>
    <mergeCell ref="Q49:Q51"/>
    <mergeCell ref="H52:H54"/>
    <mergeCell ref="I52:I54"/>
    <mergeCell ref="B49:B51"/>
    <mergeCell ref="C49:C51"/>
    <mergeCell ref="D49:D51"/>
    <mergeCell ref="E49:E51"/>
    <mergeCell ref="F49:F51"/>
    <mergeCell ref="G49:G51"/>
    <mergeCell ref="H49:H51"/>
    <mergeCell ref="I49:I51"/>
    <mergeCell ref="J52:J54"/>
    <mergeCell ref="K52:K54"/>
    <mergeCell ref="L52:L54"/>
    <mergeCell ref="M52:M54"/>
    <mergeCell ref="O52:O54"/>
    <mergeCell ref="P52:P54"/>
    <mergeCell ref="Q52:Q54"/>
    <mergeCell ref="A49:A51"/>
    <mergeCell ref="A55:A57"/>
    <mergeCell ref="B55:B57"/>
    <mergeCell ref="C55:C57"/>
    <mergeCell ref="D55:D57"/>
    <mergeCell ref="E55:E57"/>
    <mergeCell ref="F55:F57"/>
    <mergeCell ref="G55:G57"/>
    <mergeCell ref="H55:H57"/>
    <mergeCell ref="I55:I57"/>
    <mergeCell ref="B52:B54"/>
    <mergeCell ref="A52:A54"/>
    <mergeCell ref="C52:C54"/>
    <mergeCell ref="D52:D54"/>
    <mergeCell ref="E52:E54"/>
    <mergeCell ref="F52:F54"/>
    <mergeCell ref="G52:G54"/>
    <mergeCell ref="I58:I60"/>
    <mergeCell ref="P55:P57"/>
    <mergeCell ref="Q55:Q57"/>
    <mergeCell ref="Q58:Q60"/>
    <mergeCell ref="P58:P60"/>
    <mergeCell ref="O58:O60"/>
    <mergeCell ref="D61:D63"/>
    <mergeCell ref="E61:E63"/>
    <mergeCell ref="F61:F63"/>
    <mergeCell ref="G61:G63"/>
    <mergeCell ref="H61:H63"/>
    <mergeCell ref="J55:J57"/>
    <mergeCell ref="K55:K57"/>
    <mergeCell ref="L55:L57"/>
    <mergeCell ref="M55:M57"/>
    <mergeCell ref="O55:O57"/>
    <mergeCell ref="M58:M60"/>
    <mergeCell ref="L58:L60"/>
    <mergeCell ref="K58:K60"/>
    <mergeCell ref="J58:J60"/>
    <mergeCell ref="C58:C60"/>
    <mergeCell ref="B58:B60"/>
    <mergeCell ref="A58:A60"/>
    <mergeCell ref="A61:A63"/>
    <mergeCell ref="B61:B63"/>
    <mergeCell ref="C61:C63"/>
    <mergeCell ref="H58:H60"/>
    <mergeCell ref="G58:G60"/>
    <mergeCell ref="F58:F60"/>
    <mergeCell ref="E58:E60"/>
    <mergeCell ref="D58:D60"/>
    <mergeCell ref="J112:J114"/>
    <mergeCell ref="I112:I114"/>
    <mergeCell ref="O61:O63"/>
    <mergeCell ref="P61:P63"/>
    <mergeCell ref="Q61:Q63"/>
    <mergeCell ref="O64:O66"/>
    <mergeCell ref="P64:P66"/>
    <mergeCell ref="Q64:Q66"/>
    <mergeCell ref="O67:O69"/>
    <mergeCell ref="P67:P69"/>
    <mergeCell ref="Q67:Q69"/>
    <mergeCell ref="O70:O72"/>
    <mergeCell ref="I61:I63"/>
    <mergeCell ref="J61:J63"/>
    <mergeCell ref="K61:K63"/>
    <mergeCell ref="L61:L63"/>
    <mergeCell ref="M61:M63"/>
    <mergeCell ref="I109:I111"/>
    <mergeCell ref="J109:J111"/>
    <mergeCell ref="K109:K111"/>
    <mergeCell ref="L109:L111"/>
    <mergeCell ref="M109:M111"/>
    <mergeCell ref="I64:I66"/>
    <mergeCell ref="J64:J66"/>
    <mergeCell ref="C112:C114"/>
    <mergeCell ref="B112:B114"/>
    <mergeCell ref="A112:A114"/>
    <mergeCell ref="A109:A111"/>
    <mergeCell ref="B109:B111"/>
    <mergeCell ref="C109:C111"/>
    <mergeCell ref="H112:H114"/>
    <mergeCell ref="G112:G114"/>
    <mergeCell ref="F112:F114"/>
    <mergeCell ref="E112:E114"/>
    <mergeCell ref="D112:D114"/>
    <mergeCell ref="D109:D111"/>
    <mergeCell ref="E109:E111"/>
    <mergeCell ref="F109:F111"/>
    <mergeCell ref="G109:G111"/>
    <mergeCell ref="H109:H111"/>
    <mergeCell ref="D121:D123"/>
    <mergeCell ref="E121:E123"/>
    <mergeCell ref="F121:F123"/>
    <mergeCell ref="G121:G123"/>
    <mergeCell ref="A115:A117"/>
    <mergeCell ref="B115:B117"/>
    <mergeCell ref="C115:C117"/>
    <mergeCell ref="D115:D117"/>
    <mergeCell ref="E115:E117"/>
    <mergeCell ref="F115:F117"/>
    <mergeCell ref="G115:G117"/>
    <mergeCell ref="F118:F120"/>
    <mergeCell ref="G118:G120"/>
    <mergeCell ref="A118:A120"/>
    <mergeCell ref="B118:B120"/>
    <mergeCell ref="C118:C120"/>
    <mergeCell ref="D118:D120"/>
    <mergeCell ref="E118:E120"/>
    <mergeCell ref="M121:M123"/>
    <mergeCell ref="O121:O123"/>
    <mergeCell ref="P121:P123"/>
    <mergeCell ref="Q121:Q123"/>
    <mergeCell ref="A103:A105"/>
    <mergeCell ref="B103:B105"/>
    <mergeCell ref="C103:C105"/>
    <mergeCell ref="D103:D105"/>
    <mergeCell ref="E103:E105"/>
    <mergeCell ref="F103:F105"/>
    <mergeCell ref="G103:G105"/>
    <mergeCell ref="H103:H105"/>
    <mergeCell ref="I103:I105"/>
    <mergeCell ref="J103:J105"/>
    <mergeCell ref="K103:K105"/>
    <mergeCell ref="L103:L105"/>
    <mergeCell ref="H121:H123"/>
    <mergeCell ref="I121:I123"/>
    <mergeCell ref="J121:J123"/>
    <mergeCell ref="K121:K123"/>
    <mergeCell ref="L121:L123"/>
    <mergeCell ref="A121:A123"/>
    <mergeCell ref="B121:B123"/>
    <mergeCell ref="C121:C123"/>
    <mergeCell ref="A85:A87"/>
    <mergeCell ref="A82:A84"/>
    <mergeCell ref="A79:A81"/>
    <mergeCell ref="A76:A78"/>
    <mergeCell ref="A73:A75"/>
    <mergeCell ref="A100:A102"/>
    <mergeCell ref="A97:A99"/>
    <mergeCell ref="A94:A96"/>
    <mergeCell ref="A91:A93"/>
    <mergeCell ref="A88:A90"/>
    <mergeCell ref="A70:A72"/>
    <mergeCell ref="A67:A69"/>
    <mergeCell ref="A64:A66"/>
    <mergeCell ref="B64:B66"/>
    <mergeCell ref="C64:C66"/>
    <mergeCell ref="B67:B69"/>
    <mergeCell ref="C67:C69"/>
    <mergeCell ref="B70:B72"/>
    <mergeCell ref="C70:C72"/>
    <mergeCell ref="K64:K66"/>
    <mergeCell ref="L64:L66"/>
    <mergeCell ref="M64:M66"/>
    <mergeCell ref="D64:D66"/>
    <mergeCell ref="E64:E66"/>
    <mergeCell ref="F64:F66"/>
    <mergeCell ref="G64:G66"/>
    <mergeCell ref="H64:H66"/>
    <mergeCell ref="G70:G72"/>
    <mergeCell ref="H70:H72"/>
    <mergeCell ref="I67:I69"/>
    <mergeCell ref="J67:J69"/>
    <mergeCell ref="K67:K69"/>
    <mergeCell ref="L67:L69"/>
    <mergeCell ref="M67:M69"/>
    <mergeCell ref="D67:D69"/>
    <mergeCell ref="E67:E69"/>
    <mergeCell ref="F67:F69"/>
    <mergeCell ref="G67:G69"/>
    <mergeCell ref="H67:H69"/>
    <mergeCell ref="P70:P72"/>
    <mergeCell ref="Q70:Q72"/>
    <mergeCell ref="B73:B75"/>
    <mergeCell ref="C73:C75"/>
    <mergeCell ref="D73:D75"/>
    <mergeCell ref="E73:E75"/>
    <mergeCell ref="F73:F75"/>
    <mergeCell ref="G73:G75"/>
    <mergeCell ref="H73:H75"/>
    <mergeCell ref="I73:I75"/>
    <mergeCell ref="J73:J75"/>
    <mergeCell ref="K73:K75"/>
    <mergeCell ref="L73:L75"/>
    <mergeCell ref="M73:M75"/>
    <mergeCell ref="O73:O75"/>
    <mergeCell ref="P73:P75"/>
    <mergeCell ref="I70:I72"/>
    <mergeCell ref="J70:J72"/>
    <mergeCell ref="K70:K72"/>
    <mergeCell ref="L70:L72"/>
    <mergeCell ref="M70:M72"/>
    <mergeCell ref="D70:D72"/>
    <mergeCell ref="E70:E72"/>
    <mergeCell ref="F70:F72"/>
    <mergeCell ref="B79:B81"/>
    <mergeCell ref="C79:C81"/>
    <mergeCell ref="D79:D81"/>
    <mergeCell ref="E79:E81"/>
    <mergeCell ref="F79:F81"/>
    <mergeCell ref="Q73:Q75"/>
    <mergeCell ref="B76:B78"/>
    <mergeCell ref="C76:C78"/>
    <mergeCell ref="D76:D78"/>
    <mergeCell ref="E76:E78"/>
    <mergeCell ref="F76:F78"/>
    <mergeCell ref="G76:G78"/>
    <mergeCell ref="H76:H78"/>
    <mergeCell ref="I76:I78"/>
    <mergeCell ref="J76:J78"/>
    <mergeCell ref="K76:K78"/>
    <mergeCell ref="L76:L78"/>
    <mergeCell ref="M76:M78"/>
    <mergeCell ref="O76:O78"/>
    <mergeCell ref="P76:P78"/>
    <mergeCell ref="Q76:Q78"/>
    <mergeCell ref="L79:L81"/>
    <mergeCell ref="M79:M81"/>
    <mergeCell ref="O79:O81"/>
    <mergeCell ref="P79:P81"/>
    <mergeCell ref="Q79:Q81"/>
    <mergeCell ref="G79:G81"/>
    <mergeCell ref="H79:H81"/>
    <mergeCell ref="I79:I81"/>
    <mergeCell ref="J79:J81"/>
    <mergeCell ref="K79:K81"/>
    <mergeCell ref="K82:K84"/>
    <mergeCell ref="J82:J84"/>
    <mergeCell ref="I82:I84"/>
    <mergeCell ref="H82:H84"/>
    <mergeCell ref="G82:G84"/>
    <mergeCell ref="Q82:Q84"/>
    <mergeCell ref="P82:P84"/>
    <mergeCell ref="O82:O84"/>
    <mergeCell ref="M82:M84"/>
    <mergeCell ref="L82:L84"/>
    <mergeCell ref="B85:B87"/>
    <mergeCell ref="C85:C87"/>
    <mergeCell ref="D85:D87"/>
    <mergeCell ref="E85:E87"/>
    <mergeCell ref="F85:F87"/>
    <mergeCell ref="F82:F84"/>
    <mergeCell ref="E82:E84"/>
    <mergeCell ref="D82:D84"/>
    <mergeCell ref="C82:C84"/>
    <mergeCell ref="B82:B84"/>
    <mergeCell ref="L85:L87"/>
    <mergeCell ref="M85:M87"/>
    <mergeCell ref="O85:O87"/>
    <mergeCell ref="P85:P87"/>
    <mergeCell ref="Q85:Q87"/>
    <mergeCell ref="G85:G87"/>
    <mergeCell ref="H85:H87"/>
    <mergeCell ref="I85:I87"/>
    <mergeCell ref="J85:J87"/>
    <mergeCell ref="K85:K87"/>
    <mergeCell ref="G88:G90"/>
    <mergeCell ref="H88:H90"/>
    <mergeCell ref="I88:I90"/>
    <mergeCell ref="J88:J90"/>
    <mergeCell ref="K88:K90"/>
    <mergeCell ref="B88:B90"/>
    <mergeCell ref="C88:C90"/>
    <mergeCell ref="D88:D90"/>
    <mergeCell ref="E88:E90"/>
    <mergeCell ref="F88:F90"/>
    <mergeCell ref="Q91:Q93"/>
    <mergeCell ref="P91:P93"/>
    <mergeCell ref="O91:O93"/>
    <mergeCell ref="M91:M93"/>
    <mergeCell ref="L91:L93"/>
    <mergeCell ref="L88:L90"/>
    <mergeCell ref="M88:M90"/>
    <mergeCell ref="O88:O90"/>
    <mergeCell ref="P88:P90"/>
    <mergeCell ref="Q88:Q90"/>
    <mergeCell ref="F91:F93"/>
    <mergeCell ref="E91:E93"/>
    <mergeCell ref="D91:D93"/>
    <mergeCell ref="C91:C93"/>
    <mergeCell ref="B91:B93"/>
    <mergeCell ref="K91:K93"/>
    <mergeCell ref="J91:J93"/>
    <mergeCell ref="I91:I93"/>
    <mergeCell ref="H91:H93"/>
    <mergeCell ref="G91:G93"/>
    <mergeCell ref="Q94:Q96"/>
    <mergeCell ref="G94:G96"/>
    <mergeCell ref="H94:H96"/>
    <mergeCell ref="I94:I96"/>
    <mergeCell ref="J94:J96"/>
    <mergeCell ref="K94:K96"/>
    <mergeCell ref="B94:B96"/>
    <mergeCell ref="C94:C96"/>
    <mergeCell ref="D94:D96"/>
    <mergeCell ref="E94:E96"/>
    <mergeCell ref="F94:F96"/>
    <mergeCell ref="B97:B99"/>
    <mergeCell ref="C97:C99"/>
    <mergeCell ref="D97:D99"/>
    <mergeCell ref="E97:E99"/>
    <mergeCell ref="F97:F99"/>
    <mergeCell ref="L94:L96"/>
    <mergeCell ref="M94:M96"/>
    <mergeCell ref="O94:O96"/>
    <mergeCell ref="P94:P96"/>
    <mergeCell ref="L97:L99"/>
    <mergeCell ref="M97:M99"/>
    <mergeCell ref="O97:O99"/>
    <mergeCell ref="P97:P99"/>
    <mergeCell ref="Q97:Q99"/>
    <mergeCell ref="G97:G99"/>
    <mergeCell ref="H97:H99"/>
    <mergeCell ref="I97:I99"/>
    <mergeCell ref="J97:J99"/>
    <mergeCell ref="K97:K99"/>
    <mergeCell ref="G100:G102"/>
    <mergeCell ref="H100:H102"/>
    <mergeCell ref="I100:I102"/>
    <mergeCell ref="J100:J102"/>
    <mergeCell ref="K100:K102"/>
    <mergeCell ref="B100:B102"/>
    <mergeCell ref="C100:C102"/>
    <mergeCell ref="D100:D102"/>
    <mergeCell ref="E100:E102"/>
    <mergeCell ref="F100:F102"/>
    <mergeCell ref="M103:M105"/>
    <mergeCell ref="O103:O105"/>
    <mergeCell ref="P103:P105"/>
    <mergeCell ref="Q103:Q105"/>
    <mergeCell ref="L100:L102"/>
    <mergeCell ref="M100:M102"/>
    <mergeCell ref="O100:O102"/>
    <mergeCell ref="P100:P102"/>
    <mergeCell ref="Q100:Q102"/>
    <mergeCell ref="Q118:Q120"/>
    <mergeCell ref="P118:P120"/>
    <mergeCell ref="O118:O120"/>
    <mergeCell ref="M118:M120"/>
    <mergeCell ref="M115:M117"/>
    <mergeCell ref="O115:O117"/>
    <mergeCell ref="P115:P117"/>
    <mergeCell ref="Q115:Q117"/>
    <mergeCell ref="H115:H117"/>
    <mergeCell ref="I115:I117"/>
    <mergeCell ref="J115:J117"/>
    <mergeCell ref="K115:K117"/>
    <mergeCell ref="L115:L117"/>
    <mergeCell ref="K118:K120"/>
    <mergeCell ref="L118:L120"/>
    <mergeCell ref="H118:H120"/>
    <mergeCell ref="I118:I120"/>
    <mergeCell ref="J118:J120"/>
    <mergeCell ref="G106:G108"/>
    <mergeCell ref="H106:H108"/>
    <mergeCell ref="I106:I108"/>
    <mergeCell ref="J106:J108"/>
    <mergeCell ref="A106:A108"/>
    <mergeCell ref="B106:B108"/>
    <mergeCell ref="C106:C108"/>
    <mergeCell ref="D106:D108"/>
    <mergeCell ref="E106:E108"/>
    <mergeCell ref="B124:B126"/>
    <mergeCell ref="C124:C126"/>
    <mergeCell ref="D124:D126"/>
    <mergeCell ref="E124:E126"/>
    <mergeCell ref="F124:F126"/>
    <mergeCell ref="G124:G126"/>
    <mergeCell ref="H124:H126"/>
    <mergeCell ref="I124:I126"/>
    <mergeCell ref="Q106:Q108"/>
    <mergeCell ref="O109:O111"/>
    <mergeCell ref="P109:P111"/>
    <mergeCell ref="Q109:Q111"/>
    <mergeCell ref="O112:O114"/>
    <mergeCell ref="P112:P114"/>
    <mergeCell ref="Q112:Q114"/>
    <mergeCell ref="K106:K108"/>
    <mergeCell ref="L106:L108"/>
    <mergeCell ref="M106:M108"/>
    <mergeCell ref="O106:O108"/>
    <mergeCell ref="P106:P108"/>
    <mergeCell ref="M112:M114"/>
    <mergeCell ref="L112:L114"/>
    <mergeCell ref="K112:K114"/>
    <mergeCell ref="F106:F108"/>
    <mergeCell ref="J124:J126"/>
    <mergeCell ref="K124:K126"/>
    <mergeCell ref="L124:L126"/>
    <mergeCell ref="M124:M126"/>
    <mergeCell ref="O124:O126"/>
    <mergeCell ref="P124:P126"/>
    <mergeCell ref="Q124:Q126"/>
    <mergeCell ref="A127:A129"/>
    <mergeCell ref="B127:B129"/>
    <mergeCell ref="C127:C129"/>
    <mergeCell ref="D127:D129"/>
    <mergeCell ref="E127:E129"/>
    <mergeCell ref="F127:F129"/>
    <mergeCell ref="G127:G129"/>
    <mergeCell ref="H127:H129"/>
    <mergeCell ref="I127:I129"/>
    <mergeCell ref="J127:J129"/>
    <mergeCell ref="K127:K129"/>
    <mergeCell ref="L127:L129"/>
    <mergeCell ref="M127:M129"/>
    <mergeCell ref="O127:O129"/>
    <mergeCell ref="P127:P129"/>
    <mergeCell ref="Q127:Q129"/>
    <mergeCell ref="A124:A126"/>
    <mergeCell ref="K130:K132"/>
    <mergeCell ref="L130:L132"/>
    <mergeCell ref="M130:M132"/>
    <mergeCell ref="O130:O132"/>
    <mergeCell ref="P130:P132"/>
    <mergeCell ref="Q130:Q132"/>
    <mergeCell ref="A133:A135"/>
    <mergeCell ref="B133:B135"/>
    <mergeCell ref="C133:C135"/>
    <mergeCell ref="D133:D135"/>
    <mergeCell ref="E133:E135"/>
    <mergeCell ref="F133:F135"/>
    <mergeCell ref="G133:G135"/>
    <mergeCell ref="H133:H135"/>
    <mergeCell ref="I133:I135"/>
    <mergeCell ref="J133:J135"/>
    <mergeCell ref="K133:K135"/>
    <mergeCell ref="L133:L135"/>
    <mergeCell ref="M133:M135"/>
    <mergeCell ref="O133:O135"/>
    <mergeCell ref="P133:P135"/>
    <mergeCell ref="Q133:Q135"/>
    <mergeCell ref="A130:A132"/>
    <mergeCell ref="B130:B132"/>
    <mergeCell ref="C136:C138"/>
    <mergeCell ref="D136:D138"/>
    <mergeCell ref="E136:E138"/>
    <mergeCell ref="F136:F138"/>
    <mergeCell ref="G136:G138"/>
    <mergeCell ref="H136:H138"/>
    <mergeCell ref="I136:I138"/>
    <mergeCell ref="J130:J132"/>
    <mergeCell ref="C130:C132"/>
    <mergeCell ref="D130:D132"/>
    <mergeCell ref="E130:E132"/>
    <mergeCell ref="F130:F132"/>
    <mergeCell ref="G130:G132"/>
    <mergeCell ref="H130:H132"/>
    <mergeCell ref="I130:I132"/>
    <mergeCell ref="J136:J138"/>
    <mergeCell ref="K136:K138"/>
    <mergeCell ref="L136:L138"/>
    <mergeCell ref="M136:M138"/>
    <mergeCell ref="O136:O138"/>
    <mergeCell ref="P136:P138"/>
    <mergeCell ref="Q136:Q138"/>
    <mergeCell ref="A139:A141"/>
    <mergeCell ref="B139:B141"/>
    <mergeCell ref="C139:C141"/>
    <mergeCell ref="D139:D141"/>
    <mergeCell ref="E139:E141"/>
    <mergeCell ref="F139:F141"/>
    <mergeCell ref="G139:G141"/>
    <mergeCell ref="H139:H141"/>
    <mergeCell ref="I139:I141"/>
    <mergeCell ref="J139:J141"/>
    <mergeCell ref="K139:K141"/>
    <mergeCell ref="L139:L141"/>
    <mergeCell ref="M139:M141"/>
    <mergeCell ref="O139:O141"/>
    <mergeCell ref="P139:P141"/>
    <mergeCell ref="Q139:Q141"/>
    <mergeCell ref="A136:A138"/>
    <mergeCell ref="B136:B138"/>
    <mergeCell ref="K142:K144"/>
    <mergeCell ref="L142:L144"/>
    <mergeCell ref="M142:M144"/>
    <mergeCell ref="O142:O144"/>
    <mergeCell ref="P142:P144"/>
    <mergeCell ref="Q142:Q144"/>
    <mergeCell ref="A145:A147"/>
    <mergeCell ref="B145:B147"/>
    <mergeCell ref="C145:C147"/>
    <mergeCell ref="D145:D147"/>
    <mergeCell ref="E145:E147"/>
    <mergeCell ref="F145:F147"/>
    <mergeCell ref="G145:G147"/>
    <mergeCell ref="H145:H147"/>
    <mergeCell ref="I145:I147"/>
    <mergeCell ref="J145:J147"/>
    <mergeCell ref="K145:K147"/>
    <mergeCell ref="L145:L147"/>
    <mergeCell ref="M145:M147"/>
    <mergeCell ref="O145:O147"/>
    <mergeCell ref="P145:P147"/>
    <mergeCell ref="Q145:Q147"/>
    <mergeCell ref="A142:A144"/>
    <mergeCell ref="B142:B144"/>
    <mergeCell ref="C148:C150"/>
    <mergeCell ref="D148:D150"/>
    <mergeCell ref="E148:E150"/>
    <mergeCell ref="F148:F150"/>
    <mergeCell ref="G148:G150"/>
    <mergeCell ref="H148:H150"/>
    <mergeCell ref="I148:I150"/>
    <mergeCell ref="J142:J144"/>
    <mergeCell ref="C142:C144"/>
    <mergeCell ref="D142:D144"/>
    <mergeCell ref="E142:E144"/>
    <mergeCell ref="F142:F144"/>
    <mergeCell ref="G142:G144"/>
    <mergeCell ref="H142:H144"/>
    <mergeCell ref="I142:I144"/>
    <mergeCell ref="J148:J150"/>
    <mergeCell ref="K148:K150"/>
    <mergeCell ref="L148:L150"/>
    <mergeCell ref="M148:M150"/>
    <mergeCell ref="O148:O150"/>
    <mergeCell ref="P148:P150"/>
    <mergeCell ref="Q148:Q150"/>
    <mergeCell ref="A151:A153"/>
    <mergeCell ref="B151:B153"/>
    <mergeCell ref="C151:C153"/>
    <mergeCell ref="D151:D153"/>
    <mergeCell ref="E151:E153"/>
    <mergeCell ref="F151:F153"/>
    <mergeCell ref="G151:G153"/>
    <mergeCell ref="H151:H153"/>
    <mergeCell ref="I151:I153"/>
    <mergeCell ref="J151:J153"/>
    <mergeCell ref="K151:K153"/>
    <mergeCell ref="L151:L153"/>
    <mergeCell ref="M151:M153"/>
    <mergeCell ref="O151:O153"/>
    <mergeCell ref="P151:P153"/>
    <mergeCell ref="Q151:Q153"/>
    <mergeCell ref="A148:A150"/>
    <mergeCell ref="B148:B150"/>
  </mergeCells>
  <conditionalFormatting sqref="K7">
    <cfRule type="cellIs" dxfId="2582" priority="3023" operator="equal">
      <formula>"Muy Alta"</formula>
    </cfRule>
    <cfRule type="cellIs" dxfId="2581" priority="3024" operator="equal">
      <formula>"Alta"</formula>
    </cfRule>
    <cfRule type="cellIs" dxfId="2580" priority="3025" operator="equal">
      <formula>"Media"</formula>
    </cfRule>
    <cfRule type="cellIs" dxfId="2579" priority="3026" operator="equal">
      <formula>"Baja"</formula>
    </cfRule>
    <cfRule type="cellIs" dxfId="2578" priority="3027" operator="equal">
      <formula>"Muy Baja"</formula>
    </cfRule>
  </conditionalFormatting>
  <conditionalFormatting sqref="Q7">
    <cfRule type="cellIs" dxfId="2577" priority="3014" operator="equal">
      <formula>"Extremo"</formula>
    </cfRule>
    <cfRule type="cellIs" dxfId="2576" priority="3015" operator="equal">
      <formula>"Alto"</formula>
    </cfRule>
    <cfRule type="cellIs" dxfId="2575" priority="3016" operator="equal">
      <formula>"Moderado"</formula>
    </cfRule>
    <cfRule type="cellIs" dxfId="2574" priority="3017" operator="equal">
      <formula>"Bajo"</formula>
    </cfRule>
  </conditionalFormatting>
  <conditionalFormatting sqref="AB7:AB19 AB52 AB58 AB61 AB64 AB67 AB70 AB79 AB82 AB85 AB88 AB94 AB103 AB22 AB25">
    <cfRule type="cellIs" dxfId="2573" priority="3009" operator="equal">
      <formula>"Muy Alta"</formula>
    </cfRule>
    <cfRule type="cellIs" dxfId="2572" priority="3010" operator="equal">
      <formula>"Alta"</formula>
    </cfRule>
    <cfRule type="cellIs" dxfId="2571" priority="3011" operator="equal">
      <formula>"Media"</formula>
    </cfRule>
    <cfRule type="cellIs" dxfId="2570" priority="3012" operator="equal">
      <formula>"Baja"</formula>
    </cfRule>
    <cfRule type="cellIs" dxfId="2569" priority="3013" operator="equal">
      <formula>"Muy Baja"</formula>
    </cfRule>
  </conditionalFormatting>
  <conditionalFormatting sqref="AD7:AD19 AD52 AD58 AD61 AD64 AD67 AD70 AD79 AD82 AD85 AD88 AD94 AD103 AD22 AD25">
    <cfRule type="cellIs" dxfId="2568" priority="3004" operator="equal">
      <formula>"Catastrófico"</formula>
    </cfRule>
    <cfRule type="cellIs" dxfId="2567" priority="3005" operator="equal">
      <formula>"Mayor"</formula>
    </cfRule>
    <cfRule type="cellIs" dxfId="2566" priority="3006" operator="equal">
      <formula>"Moderado"</formula>
    </cfRule>
    <cfRule type="cellIs" dxfId="2565" priority="3007" operator="equal">
      <formula>"Menor"</formula>
    </cfRule>
    <cfRule type="cellIs" dxfId="2564" priority="3008" operator="equal">
      <formula>"Leve"</formula>
    </cfRule>
  </conditionalFormatting>
  <conditionalFormatting sqref="AF7:AF19 AF52 AF58 AF61 AF64 AF67 AF70 AF79 AF82 AF85 AF88 AF94 AF103 AF22 AF25">
    <cfRule type="cellIs" dxfId="2563" priority="3000" operator="equal">
      <formula>"Extremo"</formula>
    </cfRule>
    <cfRule type="cellIs" dxfId="2562" priority="3001" operator="equal">
      <formula>"Alto"</formula>
    </cfRule>
    <cfRule type="cellIs" dxfId="2561" priority="3002" operator="equal">
      <formula>"Moderado"</formula>
    </cfRule>
    <cfRule type="cellIs" dxfId="2560" priority="3003" operator="equal">
      <formula>"Bajo"</formula>
    </cfRule>
  </conditionalFormatting>
  <conditionalFormatting sqref="K94">
    <cfRule type="cellIs" dxfId="2559" priority="1137" operator="equal">
      <formula>"Muy Alta"</formula>
    </cfRule>
    <cfRule type="cellIs" dxfId="2558" priority="1138" operator="equal">
      <formula>"Alta"</formula>
    </cfRule>
    <cfRule type="cellIs" dxfId="2557" priority="1139" operator="equal">
      <formula>"Media"</formula>
    </cfRule>
    <cfRule type="cellIs" dxfId="2556" priority="1140" operator="equal">
      <formula>"Baja"</formula>
    </cfRule>
    <cfRule type="cellIs" dxfId="2555" priority="1141" operator="equal">
      <formula>"Muy Baja"</formula>
    </cfRule>
  </conditionalFormatting>
  <conditionalFormatting sqref="K82">
    <cfRule type="cellIs" dxfId="2554" priority="1197" operator="equal">
      <formula>"Muy Alta"</formula>
    </cfRule>
    <cfRule type="cellIs" dxfId="2553" priority="1198" operator="equal">
      <formula>"Alta"</formula>
    </cfRule>
    <cfRule type="cellIs" dxfId="2552" priority="1199" operator="equal">
      <formula>"Media"</formula>
    </cfRule>
    <cfRule type="cellIs" dxfId="2551" priority="1200" operator="equal">
      <formula>"Baja"</formula>
    </cfRule>
    <cfRule type="cellIs" dxfId="2550" priority="1201" operator="equal">
      <formula>"Muy Baja"</formula>
    </cfRule>
  </conditionalFormatting>
  <conditionalFormatting sqref="N7:N9">
    <cfRule type="containsText" dxfId="2549" priority="2705" operator="containsText" text="❌">
      <formula>NOT(ISERROR(SEARCH("❌",N7)))</formula>
    </cfRule>
  </conditionalFormatting>
  <conditionalFormatting sqref="AD55">
    <cfRule type="cellIs" dxfId="2548" priority="2183" operator="equal">
      <formula>"Catastrófico"</formula>
    </cfRule>
    <cfRule type="cellIs" dxfId="2547" priority="2184" operator="equal">
      <formula>"Mayor"</formula>
    </cfRule>
    <cfRule type="cellIs" dxfId="2546" priority="2185" operator="equal">
      <formula>"Moderado"</formula>
    </cfRule>
    <cfRule type="cellIs" dxfId="2545" priority="2186" operator="equal">
      <formula>"Menor"</formula>
    </cfRule>
    <cfRule type="cellIs" dxfId="2544" priority="2187" operator="equal">
      <formula>"Leve"</formula>
    </cfRule>
  </conditionalFormatting>
  <conditionalFormatting sqref="AF55">
    <cfRule type="cellIs" dxfId="2543" priority="2179" operator="equal">
      <formula>"Extremo"</formula>
    </cfRule>
    <cfRule type="cellIs" dxfId="2542" priority="2180" operator="equal">
      <formula>"Alto"</formula>
    </cfRule>
    <cfRule type="cellIs" dxfId="2541" priority="2181" operator="equal">
      <formula>"Moderado"</formula>
    </cfRule>
    <cfRule type="cellIs" dxfId="2540" priority="2182" operator="equal">
      <formula>"Bajo"</formula>
    </cfRule>
  </conditionalFormatting>
  <conditionalFormatting sqref="AF53">
    <cfRule type="cellIs" dxfId="2539" priority="2193" operator="equal">
      <formula>"Extremo"</formula>
    </cfRule>
    <cfRule type="cellIs" dxfId="2538" priority="2194" operator="equal">
      <formula>"Alto"</formula>
    </cfRule>
    <cfRule type="cellIs" dxfId="2537" priority="2195" operator="equal">
      <formula>"Moderado"</formula>
    </cfRule>
    <cfRule type="cellIs" dxfId="2536" priority="2196" operator="equal">
      <formula>"Bajo"</formula>
    </cfRule>
  </conditionalFormatting>
  <conditionalFormatting sqref="AB26">
    <cfRule type="cellIs" dxfId="2535" priority="2608" operator="equal">
      <formula>"Muy Alta"</formula>
    </cfRule>
    <cfRule type="cellIs" dxfId="2534" priority="2609" operator="equal">
      <formula>"Alta"</formula>
    </cfRule>
    <cfRule type="cellIs" dxfId="2533" priority="2610" operator="equal">
      <formula>"Media"</formula>
    </cfRule>
    <cfRule type="cellIs" dxfId="2532" priority="2611" operator="equal">
      <formula>"Baja"</formula>
    </cfRule>
    <cfRule type="cellIs" dxfId="2531" priority="2612" operator="equal">
      <formula>"Muy Baja"</formula>
    </cfRule>
  </conditionalFormatting>
  <conditionalFormatting sqref="AD26">
    <cfRule type="cellIs" dxfId="2530" priority="2603" operator="equal">
      <formula>"Catastrófico"</formula>
    </cfRule>
    <cfRule type="cellIs" dxfId="2529" priority="2604" operator="equal">
      <formula>"Mayor"</formula>
    </cfRule>
    <cfRule type="cellIs" dxfId="2528" priority="2605" operator="equal">
      <formula>"Moderado"</formula>
    </cfRule>
    <cfRule type="cellIs" dxfId="2527" priority="2606" operator="equal">
      <formula>"Menor"</formula>
    </cfRule>
    <cfRule type="cellIs" dxfId="2526" priority="2607" operator="equal">
      <formula>"Leve"</formula>
    </cfRule>
  </conditionalFormatting>
  <conditionalFormatting sqref="AF26">
    <cfRule type="cellIs" dxfId="2525" priority="2599" operator="equal">
      <formula>"Extremo"</formula>
    </cfRule>
    <cfRule type="cellIs" dxfId="2524" priority="2600" operator="equal">
      <formula>"Alto"</formula>
    </cfRule>
    <cfRule type="cellIs" dxfId="2523" priority="2601" operator="equal">
      <formula>"Moderado"</formula>
    </cfRule>
    <cfRule type="cellIs" dxfId="2522" priority="2602" operator="equal">
      <formula>"Bajo"</formula>
    </cfRule>
  </conditionalFormatting>
  <conditionalFormatting sqref="AB27">
    <cfRule type="cellIs" dxfId="2521" priority="2594" operator="equal">
      <formula>"Muy Alta"</formula>
    </cfRule>
    <cfRule type="cellIs" dxfId="2520" priority="2595" operator="equal">
      <formula>"Alta"</formula>
    </cfRule>
    <cfRule type="cellIs" dxfId="2519" priority="2596" operator="equal">
      <formula>"Media"</formula>
    </cfRule>
    <cfRule type="cellIs" dxfId="2518" priority="2597" operator="equal">
      <formula>"Baja"</formula>
    </cfRule>
    <cfRule type="cellIs" dxfId="2517" priority="2598" operator="equal">
      <formula>"Muy Baja"</formula>
    </cfRule>
  </conditionalFormatting>
  <conditionalFormatting sqref="AD27">
    <cfRule type="cellIs" dxfId="2516" priority="2589" operator="equal">
      <formula>"Catastrófico"</formula>
    </cfRule>
    <cfRule type="cellIs" dxfId="2515" priority="2590" operator="equal">
      <formula>"Mayor"</formula>
    </cfRule>
    <cfRule type="cellIs" dxfId="2514" priority="2591" operator="equal">
      <formula>"Moderado"</formula>
    </cfRule>
    <cfRule type="cellIs" dxfId="2513" priority="2592" operator="equal">
      <formula>"Menor"</formula>
    </cfRule>
    <cfRule type="cellIs" dxfId="2512" priority="2593" operator="equal">
      <formula>"Leve"</formula>
    </cfRule>
  </conditionalFormatting>
  <conditionalFormatting sqref="AF27">
    <cfRule type="cellIs" dxfId="2511" priority="2585" operator="equal">
      <formula>"Extremo"</formula>
    </cfRule>
    <cfRule type="cellIs" dxfId="2510" priority="2586" operator="equal">
      <formula>"Alto"</formula>
    </cfRule>
    <cfRule type="cellIs" dxfId="2509" priority="2587" operator="equal">
      <formula>"Moderado"</formula>
    </cfRule>
    <cfRule type="cellIs" dxfId="2508" priority="2588" operator="equal">
      <formula>"Bajo"</formula>
    </cfRule>
  </conditionalFormatting>
  <conditionalFormatting sqref="AB28">
    <cfRule type="cellIs" dxfId="2507" priority="2580" operator="equal">
      <formula>"Muy Alta"</formula>
    </cfRule>
    <cfRule type="cellIs" dxfId="2506" priority="2581" operator="equal">
      <formula>"Alta"</formula>
    </cfRule>
    <cfRule type="cellIs" dxfId="2505" priority="2582" operator="equal">
      <formula>"Media"</formula>
    </cfRule>
    <cfRule type="cellIs" dxfId="2504" priority="2583" operator="equal">
      <formula>"Baja"</formula>
    </cfRule>
    <cfRule type="cellIs" dxfId="2503" priority="2584" operator="equal">
      <formula>"Muy Baja"</formula>
    </cfRule>
  </conditionalFormatting>
  <conditionalFormatting sqref="AD28">
    <cfRule type="cellIs" dxfId="2502" priority="2575" operator="equal">
      <formula>"Catastrófico"</formula>
    </cfRule>
    <cfRule type="cellIs" dxfId="2501" priority="2576" operator="equal">
      <formula>"Mayor"</formula>
    </cfRule>
    <cfRule type="cellIs" dxfId="2500" priority="2577" operator="equal">
      <formula>"Moderado"</formula>
    </cfRule>
    <cfRule type="cellIs" dxfId="2499" priority="2578" operator="equal">
      <formula>"Menor"</formula>
    </cfRule>
    <cfRule type="cellIs" dxfId="2498" priority="2579" operator="equal">
      <formula>"Leve"</formula>
    </cfRule>
  </conditionalFormatting>
  <conditionalFormatting sqref="AF28">
    <cfRule type="cellIs" dxfId="2497" priority="2571" operator="equal">
      <formula>"Extremo"</formula>
    </cfRule>
    <cfRule type="cellIs" dxfId="2496" priority="2572" operator="equal">
      <formula>"Alto"</formula>
    </cfRule>
    <cfRule type="cellIs" dxfId="2495" priority="2573" operator="equal">
      <formula>"Moderado"</formula>
    </cfRule>
    <cfRule type="cellIs" dxfId="2494" priority="2574" operator="equal">
      <formula>"Bajo"</formula>
    </cfRule>
  </conditionalFormatting>
  <conditionalFormatting sqref="AB29">
    <cfRule type="cellIs" dxfId="2493" priority="2566" operator="equal">
      <formula>"Muy Alta"</formula>
    </cfRule>
    <cfRule type="cellIs" dxfId="2492" priority="2567" operator="equal">
      <formula>"Alta"</formula>
    </cfRule>
    <cfRule type="cellIs" dxfId="2491" priority="2568" operator="equal">
      <formula>"Media"</formula>
    </cfRule>
    <cfRule type="cellIs" dxfId="2490" priority="2569" operator="equal">
      <formula>"Baja"</formula>
    </cfRule>
    <cfRule type="cellIs" dxfId="2489" priority="2570" operator="equal">
      <formula>"Muy Baja"</formula>
    </cfRule>
  </conditionalFormatting>
  <conditionalFormatting sqref="AD29">
    <cfRule type="cellIs" dxfId="2488" priority="2561" operator="equal">
      <formula>"Catastrófico"</formula>
    </cfRule>
    <cfRule type="cellIs" dxfId="2487" priority="2562" operator="equal">
      <formula>"Mayor"</formula>
    </cfRule>
    <cfRule type="cellIs" dxfId="2486" priority="2563" operator="equal">
      <formula>"Moderado"</formula>
    </cfRule>
    <cfRule type="cellIs" dxfId="2485" priority="2564" operator="equal">
      <formula>"Menor"</formula>
    </cfRule>
    <cfRule type="cellIs" dxfId="2484" priority="2565" operator="equal">
      <formula>"Leve"</formula>
    </cfRule>
  </conditionalFormatting>
  <conditionalFormatting sqref="AF29">
    <cfRule type="cellIs" dxfId="2483" priority="2557" operator="equal">
      <formula>"Extremo"</formula>
    </cfRule>
    <cfRule type="cellIs" dxfId="2482" priority="2558" operator="equal">
      <formula>"Alto"</formula>
    </cfRule>
    <cfRule type="cellIs" dxfId="2481" priority="2559" operator="equal">
      <formula>"Moderado"</formula>
    </cfRule>
    <cfRule type="cellIs" dxfId="2480" priority="2560" operator="equal">
      <formula>"Bajo"</formula>
    </cfRule>
  </conditionalFormatting>
  <conditionalFormatting sqref="AB30">
    <cfRule type="cellIs" dxfId="2479" priority="2552" operator="equal">
      <formula>"Muy Alta"</formula>
    </cfRule>
    <cfRule type="cellIs" dxfId="2478" priority="2553" operator="equal">
      <formula>"Alta"</formula>
    </cfRule>
    <cfRule type="cellIs" dxfId="2477" priority="2554" operator="equal">
      <formula>"Media"</formula>
    </cfRule>
    <cfRule type="cellIs" dxfId="2476" priority="2555" operator="equal">
      <formula>"Baja"</formula>
    </cfRule>
    <cfRule type="cellIs" dxfId="2475" priority="2556" operator="equal">
      <formula>"Muy Baja"</formula>
    </cfRule>
  </conditionalFormatting>
  <conditionalFormatting sqref="AD30">
    <cfRule type="cellIs" dxfId="2474" priority="2547" operator="equal">
      <formula>"Catastrófico"</formula>
    </cfRule>
    <cfRule type="cellIs" dxfId="2473" priority="2548" operator="equal">
      <formula>"Mayor"</formula>
    </cfRule>
    <cfRule type="cellIs" dxfId="2472" priority="2549" operator="equal">
      <formula>"Moderado"</formula>
    </cfRule>
    <cfRule type="cellIs" dxfId="2471" priority="2550" operator="equal">
      <formula>"Menor"</formula>
    </cfRule>
    <cfRule type="cellIs" dxfId="2470" priority="2551" operator="equal">
      <formula>"Leve"</formula>
    </cfRule>
  </conditionalFormatting>
  <conditionalFormatting sqref="AF30">
    <cfRule type="cellIs" dxfId="2469" priority="2543" operator="equal">
      <formula>"Extremo"</formula>
    </cfRule>
    <cfRule type="cellIs" dxfId="2468" priority="2544" operator="equal">
      <formula>"Alto"</formula>
    </cfRule>
    <cfRule type="cellIs" dxfId="2467" priority="2545" operator="equal">
      <formula>"Moderado"</formula>
    </cfRule>
    <cfRule type="cellIs" dxfId="2466" priority="2546" operator="equal">
      <formula>"Bajo"</formula>
    </cfRule>
  </conditionalFormatting>
  <conditionalFormatting sqref="AB31">
    <cfRule type="cellIs" dxfId="2465" priority="2538" operator="equal">
      <formula>"Muy Alta"</formula>
    </cfRule>
    <cfRule type="cellIs" dxfId="2464" priority="2539" operator="equal">
      <formula>"Alta"</formula>
    </cfRule>
    <cfRule type="cellIs" dxfId="2463" priority="2540" operator="equal">
      <formula>"Media"</formula>
    </cfRule>
    <cfRule type="cellIs" dxfId="2462" priority="2541" operator="equal">
      <formula>"Baja"</formula>
    </cfRule>
    <cfRule type="cellIs" dxfId="2461" priority="2542" operator="equal">
      <formula>"Muy Baja"</formula>
    </cfRule>
  </conditionalFormatting>
  <conditionalFormatting sqref="AD31">
    <cfRule type="cellIs" dxfId="2460" priority="2533" operator="equal">
      <formula>"Catastrófico"</formula>
    </cfRule>
    <cfRule type="cellIs" dxfId="2459" priority="2534" operator="equal">
      <formula>"Mayor"</formula>
    </cfRule>
    <cfRule type="cellIs" dxfId="2458" priority="2535" operator="equal">
      <formula>"Moderado"</formula>
    </cfRule>
    <cfRule type="cellIs" dxfId="2457" priority="2536" operator="equal">
      <formula>"Menor"</formula>
    </cfRule>
    <cfRule type="cellIs" dxfId="2456" priority="2537" operator="equal">
      <formula>"Leve"</formula>
    </cfRule>
  </conditionalFormatting>
  <conditionalFormatting sqref="AF31">
    <cfRule type="cellIs" dxfId="2455" priority="2529" operator="equal">
      <formula>"Extremo"</formula>
    </cfRule>
    <cfRule type="cellIs" dxfId="2454" priority="2530" operator="equal">
      <formula>"Alto"</formula>
    </cfRule>
    <cfRule type="cellIs" dxfId="2453" priority="2531" operator="equal">
      <formula>"Moderado"</formula>
    </cfRule>
    <cfRule type="cellIs" dxfId="2452" priority="2532" operator="equal">
      <formula>"Bajo"</formula>
    </cfRule>
  </conditionalFormatting>
  <conditionalFormatting sqref="AB32">
    <cfRule type="cellIs" dxfId="2451" priority="2524" operator="equal">
      <formula>"Muy Alta"</formula>
    </cfRule>
    <cfRule type="cellIs" dxfId="2450" priority="2525" operator="equal">
      <formula>"Alta"</formula>
    </cfRule>
    <cfRule type="cellIs" dxfId="2449" priority="2526" operator="equal">
      <formula>"Media"</formula>
    </cfRule>
    <cfRule type="cellIs" dxfId="2448" priority="2527" operator="equal">
      <formula>"Baja"</formula>
    </cfRule>
    <cfRule type="cellIs" dxfId="2447" priority="2528" operator="equal">
      <formula>"Muy Baja"</formula>
    </cfRule>
  </conditionalFormatting>
  <conditionalFormatting sqref="AD32">
    <cfRule type="cellIs" dxfId="2446" priority="2519" operator="equal">
      <formula>"Catastrófico"</formula>
    </cfRule>
    <cfRule type="cellIs" dxfId="2445" priority="2520" operator="equal">
      <formula>"Mayor"</formula>
    </cfRule>
    <cfRule type="cellIs" dxfId="2444" priority="2521" operator="equal">
      <formula>"Moderado"</formula>
    </cfRule>
    <cfRule type="cellIs" dxfId="2443" priority="2522" operator="equal">
      <formula>"Menor"</formula>
    </cfRule>
    <cfRule type="cellIs" dxfId="2442" priority="2523" operator="equal">
      <formula>"Leve"</formula>
    </cfRule>
  </conditionalFormatting>
  <conditionalFormatting sqref="AF32">
    <cfRule type="cellIs" dxfId="2441" priority="2515" operator="equal">
      <formula>"Extremo"</formula>
    </cfRule>
    <cfRule type="cellIs" dxfId="2440" priority="2516" operator="equal">
      <formula>"Alto"</formula>
    </cfRule>
    <cfRule type="cellIs" dxfId="2439" priority="2517" operator="equal">
      <formula>"Moderado"</formula>
    </cfRule>
    <cfRule type="cellIs" dxfId="2438" priority="2518" operator="equal">
      <formula>"Bajo"</formula>
    </cfRule>
  </conditionalFormatting>
  <conditionalFormatting sqref="AB33">
    <cfRule type="cellIs" dxfId="2437" priority="2510" operator="equal">
      <formula>"Muy Alta"</formula>
    </cfRule>
    <cfRule type="cellIs" dxfId="2436" priority="2511" operator="equal">
      <formula>"Alta"</formula>
    </cfRule>
    <cfRule type="cellIs" dxfId="2435" priority="2512" operator="equal">
      <formula>"Media"</formula>
    </cfRule>
    <cfRule type="cellIs" dxfId="2434" priority="2513" operator="equal">
      <formula>"Baja"</formula>
    </cfRule>
    <cfRule type="cellIs" dxfId="2433" priority="2514" operator="equal">
      <formula>"Muy Baja"</formula>
    </cfRule>
  </conditionalFormatting>
  <conditionalFormatting sqref="AD33">
    <cfRule type="cellIs" dxfId="2432" priority="2505" operator="equal">
      <formula>"Catastrófico"</formula>
    </cfRule>
    <cfRule type="cellIs" dxfId="2431" priority="2506" operator="equal">
      <formula>"Mayor"</formula>
    </cfRule>
    <cfRule type="cellIs" dxfId="2430" priority="2507" operator="equal">
      <formula>"Moderado"</formula>
    </cfRule>
    <cfRule type="cellIs" dxfId="2429" priority="2508" operator="equal">
      <formula>"Menor"</formula>
    </cfRule>
    <cfRule type="cellIs" dxfId="2428" priority="2509" operator="equal">
      <formula>"Leve"</formula>
    </cfRule>
  </conditionalFormatting>
  <conditionalFormatting sqref="AF33">
    <cfRule type="cellIs" dxfId="2427" priority="2501" operator="equal">
      <formula>"Extremo"</formula>
    </cfRule>
    <cfRule type="cellIs" dxfId="2426" priority="2502" operator="equal">
      <formula>"Alto"</formula>
    </cfRule>
    <cfRule type="cellIs" dxfId="2425" priority="2503" operator="equal">
      <formula>"Moderado"</formula>
    </cfRule>
    <cfRule type="cellIs" dxfId="2424" priority="2504" operator="equal">
      <formula>"Bajo"</formula>
    </cfRule>
  </conditionalFormatting>
  <conditionalFormatting sqref="AB34">
    <cfRule type="cellIs" dxfId="2423" priority="2496" operator="equal">
      <formula>"Muy Alta"</formula>
    </cfRule>
    <cfRule type="cellIs" dxfId="2422" priority="2497" operator="equal">
      <formula>"Alta"</formula>
    </cfRule>
    <cfRule type="cellIs" dxfId="2421" priority="2498" operator="equal">
      <formula>"Media"</formula>
    </cfRule>
    <cfRule type="cellIs" dxfId="2420" priority="2499" operator="equal">
      <formula>"Baja"</formula>
    </cfRule>
    <cfRule type="cellIs" dxfId="2419" priority="2500" operator="equal">
      <formula>"Muy Baja"</formula>
    </cfRule>
  </conditionalFormatting>
  <conditionalFormatting sqref="AD34">
    <cfRule type="cellIs" dxfId="2418" priority="2491" operator="equal">
      <formula>"Catastrófico"</formula>
    </cfRule>
    <cfRule type="cellIs" dxfId="2417" priority="2492" operator="equal">
      <formula>"Mayor"</formula>
    </cfRule>
    <cfRule type="cellIs" dxfId="2416" priority="2493" operator="equal">
      <formula>"Moderado"</formula>
    </cfRule>
    <cfRule type="cellIs" dxfId="2415" priority="2494" operator="equal">
      <formula>"Menor"</formula>
    </cfRule>
    <cfRule type="cellIs" dxfId="2414" priority="2495" operator="equal">
      <formula>"Leve"</formula>
    </cfRule>
  </conditionalFormatting>
  <conditionalFormatting sqref="AF34">
    <cfRule type="cellIs" dxfId="2413" priority="2487" operator="equal">
      <formula>"Extremo"</formula>
    </cfRule>
    <cfRule type="cellIs" dxfId="2412" priority="2488" operator="equal">
      <formula>"Alto"</formula>
    </cfRule>
    <cfRule type="cellIs" dxfId="2411" priority="2489" operator="equal">
      <formula>"Moderado"</formula>
    </cfRule>
    <cfRule type="cellIs" dxfId="2410" priority="2490" operator="equal">
      <formula>"Bajo"</formula>
    </cfRule>
  </conditionalFormatting>
  <conditionalFormatting sqref="AB35">
    <cfRule type="cellIs" dxfId="2409" priority="2482" operator="equal">
      <formula>"Muy Alta"</formula>
    </cfRule>
    <cfRule type="cellIs" dxfId="2408" priority="2483" operator="equal">
      <formula>"Alta"</formula>
    </cfRule>
    <cfRule type="cellIs" dxfId="2407" priority="2484" operator="equal">
      <formula>"Media"</formula>
    </cfRule>
    <cfRule type="cellIs" dxfId="2406" priority="2485" operator="equal">
      <formula>"Baja"</formula>
    </cfRule>
    <cfRule type="cellIs" dxfId="2405" priority="2486" operator="equal">
      <formula>"Muy Baja"</formula>
    </cfRule>
  </conditionalFormatting>
  <conditionalFormatting sqref="AD35">
    <cfRule type="cellIs" dxfId="2404" priority="2477" operator="equal">
      <formula>"Catastrófico"</formula>
    </cfRule>
    <cfRule type="cellIs" dxfId="2403" priority="2478" operator="equal">
      <formula>"Mayor"</formula>
    </cfRule>
    <cfRule type="cellIs" dxfId="2402" priority="2479" operator="equal">
      <formula>"Moderado"</formula>
    </cfRule>
    <cfRule type="cellIs" dxfId="2401" priority="2480" operator="equal">
      <formula>"Menor"</formula>
    </cfRule>
    <cfRule type="cellIs" dxfId="2400" priority="2481" operator="equal">
      <formula>"Leve"</formula>
    </cfRule>
  </conditionalFormatting>
  <conditionalFormatting sqref="AF35">
    <cfRule type="cellIs" dxfId="2399" priority="2473" operator="equal">
      <formula>"Extremo"</formula>
    </cfRule>
    <cfRule type="cellIs" dxfId="2398" priority="2474" operator="equal">
      <formula>"Alto"</formula>
    </cfRule>
    <cfRule type="cellIs" dxfId="2397" priority="2475" operator="equal">
      <formula>"Moderado"</formula>
    </cfRule>
    <cfRule type="cellIs" dxfId="2396" priority="2476" operator="equal">
      <formula>"Bajo"</formula>
    </cfRule>
  </conditionalFormatting>
  <conditionalFormatting sqref="AB36">
    <cfRule type="cellIs" dxfId="2395" priority="2468" operator="equal">
      <formula>"Muy Alta"</formula>
    </cfRule>
    <cfRule type="cellIs" dxfId="2394" priority="2469" operator="equal">
      <formula>"Alta"</formula>
    </cfRule>
    <cfRule type="cellIs" dxfId="2393" priority="2470" operator="equal">
      <formula>"Media"</formula>
    </cfRule>
    <cfRule type="cellIs" dxfId="2392" priority="2471" operator="equal">
      <formula>"Baja"</formula>
    </cfRule>
    <cfRule type="cellIs" dxfId="2391" priority="2472" operator="equal">
      <formula>"Muy Baja"</formula>
    </cfRule>
  </conditionalFormatting>
  <conditionalFormatting sqref="AD36">
    <cfRule type="cellIs" dxfId="2390" priority="2463" operator="equal">
      <formula>"Catastrófico"</formula>
    </cfRule>
    <cfRule type="cellIs" dxfId="2389" priority="2464" operator="equal">
      <formula>"Mayor"</formula>
    </cfRule>
    <cfRule type="cellIs" dxfId="2388" priority="2465" operator="equal">
      <formula>"Moderado"</formula>
    </cfRule>
    <cfRule type="cellIs" dxfId="2387" priority="2466" operator="equal">
      <formula>"Menor"</formula>
    </cfRule>
    <cfRule type="cellIs" dxfId="2386" priority="2467" operator="equal">
      <formula>"Leve"</formula>
    </cfRule>
  </conditionalFormatting>
  <conditionalFormatting sqref="AF36">
    <cfRule type="cellIs" dxfId="2385" priority="2459" operator="equal">
      <formula>"Extremo"</formula>
    </cfRule>
    <cfRule type="cellIs" dxfId="2384" priority="2460" operator="equal">
      <formula>"Alto"</formula>
    </cfRule>
    <cfRule type="cellIs" dxfId="2383" priority="2461" operator="equal">
      <formula>"Moderado"</formula>
    </cfRule>
    <cfRule type="cellIs" dxfId="2382" priority="2462" operator="equal">
      <formula>"Bajo"</formula>
    </cfRule>
  </conditionalFormatting>
  <conditionalFormatting sqref="AB37">
    <cfRule type="cellIs" dxfId="2381" priority="2454" operator="equal">
      <formula>"Muy Alta"</formula>
    </cfRule>
    <cfRule type="cellIs" dxfId="2380" priority="2455" operator="equal">
      <formula>"Alta"</formula>
    </cfRule>
    <cfRule type="cellIs" dxfId="2379" priority="2456" operator="equal">
      <formula>"Media"</formula>
    </cfRule>
    <cfRule type="cellIs" dxfId="2378" priority="2457" operator="equal">
      <formula>"Baja"</formula>
    </cfRule>
    <cfRule type="cellIs" dxfId="2377" priority="2458" operator="equal">
      <formula>"Muy Baja"</formula>
    </cfRule>
  </conditionalFormatting>
  <conditionalFormatting sqref="AD37">
    <cfRule type="cellIs" dxfId="2376" priority="2449" operator="equal">
      <formula>"Catastrófico"</formula>
    </cfRule>
    <cfRule type="cellIs" dxfId="2375" priority="2450" operator="equal">
      <formula>"Mayor"</formula>
    </cfRule>
    <cfRule type="cellIs" dxfId="2374" priority="2451" operator="equal">
      <formula>"Moderado"</formula>
    </cfRule>
    <cfRule type="cellIs" dxfId="2373" priority="2452" operator="equal">
      <formula>"Menor"</formula>
    </cfRule>
    <cfRule type="cellIs" dxfId="2372" priority="2453" operator="equal">
      <formula>"Leve"</formula>
    </cfRule>
  </conditionalFormatting>
  <conditionalFormatting sqref="AF37">
    <cfRule type="cellIs" dxfId="2371" priority="2445" operator="equal">
      <formula>"Extremo"</formula>
    </cfRule>
    <cfRule type="cellIs" dxfId="2370" priority="2446" operator="equal">
      <formula>"Alto"</formula>
    </cfRule>
    <cfRule type="cellIs" dxfId="2369" priority="2447" operator="equal">
      <formula>"Moderado"</formula>
    </cfRule>
    <cfRule type="cellIs" dxfId="2368" priority="2448" operator="equal">
      <formula>"Bajo"</formula>
    </cfRule>
  </conditionalFormatting>
  <conditionalFormatting sqref="AB38">
    <cfRule type="cellIs" dxfId="2367" priority="2440" operator="equal">
      <formula>"Muy Alta"</formula>
    </cfRule>
    <cfRule type="cellIs" dxfId="2366" priority="2441" operator="equal">
      <formula>"Alta"</formula>
    </cfRule>
    <cfRule type="cellIs" dxfId="2365" priority="2442" operator="equal">
      <formula>"Media"</formula>
    </cfRule>
    <cfRule type="cellIs" dxfId="2364" priority="2443" operator="equal">
      <formula>"Baja"</formula>
    </cfRule>
    <cfRule type="cellIs" dxfId="2363" priority="2444" operator="equal">
      <formula>"Muy Baja"</formula>
    </cfRule>
  </conditionalFormatting>
  <conditionalFormatting sqref="AD38">
    <cfRule type="cellIs" dxfId="2362" priority="2435" operator="equal">
      <formula>"Catastrófico"</formula>
    </cfRule>
    <cfRule type="cellIs" dxfId="2361" priority="2436" operator="equal">
      <formula>"Mayor"</formula>
    </cfRule>
    <cfRule type="cellIs" dxfId="2360" priority="2437" operator="equal">
      <formula>"Moderado"</formula>
    </cfRule>
    <cfRule type="cellIs" dxfId="2359" priority="2438" operator="equal">
      <formula>"Menor"</formula>
    </cfRule>
    <cfRule type="cellIs" dxfId="2358" priority="2439" operator="equal">
      <formula>"Leve"</formula>
    </cfRule>
  </conditionalFormatting>
  <conditionalFormatting sqref="AF38">
    <cfRule type="cellIs" dxfId="2357" priority="2431" operator="equal">
      <formula>"Extremo"</formula>
    </cfRule>
    <cfRule type="cellIs" dxfId="2356" priority="2432" operator="equal">
      <formula>"Alto"</formula>
    </cfRule>
    <cfRule type="cellIs" dxfId="2355" priority="2433" operator="equal">
      <formula>"Moderado"</formula>
    </cfRule>
    <cfRule type="cellIs" dxfId="2354" priority="2434" operator="equal">
      <formula>"Bajo"</formula>
    </cfRule>
  </conditionalFormatting>
  <conditionalFormatting sqref="AB39">
    <cfRule type="cellIs" dxfId="2353" priority="2426" operator="equal">
      <formula>"Muy Alta"</formula>
    </cfRule>
    <cfRule type="cellIs" dxfId="2352" priority="2427" operator="equal">
      <formula>"Alta"</formula>
    </cfRule>
    <cfRule type="cellIs" dxfId="2351" priority="2428" operator="equal">
      <formula>"Media"</formula>
    </cfRule>
    <cfRule type="cellIs" dxfId="2350" priority="2429" operator="equal">
      <formula>"Baja"</formula>
    </cfRule>
    <cfRule type="cellIs" dxfId="2349" priority="2430" operator="equal">
      <formula>"Muy Baja"</formula>
    </cfRule>
  </conditionalFormatting>
  <conditionalFormatting sqref="AD39">
    <cfRule type="cellIs" dxfId="2348" priority="2421" operator="equal">
      <formula>"Catastrófico"</formula>
    </cfRule>
    <cfRule type="cellIs" dxfId="2347" priority="2422" operator="equal">
      <formula>"Mayor"</formula>
    </cfRule>
    <cfRule type="cellIs" dxfId="2346" priority="2423" operator="equal">
      <formula>"Moderado"</formula>
    </cfRule>
    <cfRule type="cellIs" dxfId="2345" priority="2424" operator="equal">
      <formula>"Menor"</formula>
    </cfRule>
    <cfRule type="cellIs" dxfId="2344" priority="2425" operator="equal">
      <formula>"Leve"</formula>
    </cfRule>
  </conditionalFormatting>
  <conditionalFormatting sqref="AF39">
    <cfRule type="cellIs" dxfId="2343" priority="2417" operator="equal">
      <formula>"Extremo"</formula>
    </cfRule>
    <cfRule type="cellIs" dxfId="2342" priority="2418" operator="equal">
      <formula>"Alto"</formula>
    </cfRule>
    <cfRule type="cellIs" dxfId="2341" priority="2419" operator="equal">
      <formula>"Moderado"</formula>
    </cfRule>
    <cfRule type="cellIs" dxfId="2340" priority="2420" operator="equal">
      <formula>"Bajo"</formula>
    </cfRule>
  </conditionalFormatting>
  <conditionalFormatting sqref="AB40">
    <cfRule type="cellIs" dxfId="2339" priority="2412" operator="equal">
      <formula>"Muy Alta"</formula>
    </cfRule>
    <cfRule type="cellIs" dxfId="2338" priority="2413" operator="equal">
      <formula>"Alta"</formula>
    </cfRule>
    <cfRule type="cellIs" dxfId="2337" priority="2414" operator="equal">
      <formula>"Media"</formula>
    </cfRule>
    <cfRule type="cellIs" dxfId="2336" priority="2415" operator="equal">
      <formula>"Baja"</formula>
    </cfRule>
    <cfRule type="cellIs" dxfId="2335" priority="2416" operator="equal">
      <formula>"Muy Baja"</formula>
    </cfRule>
  </conditionalFormatting>
  <conditionalFormatting sqref="AD40">
    <cfRule type="cellIs" dxfId="2334" priority="2407" operator="equal">
      <formula>"Catastrófico"</formula>
    </cfRule>
    <cfRule type="cellIs" dxfId="2333" priority="2408" operator="equal">
      <formula>"Mayor"</formula>
    </cfRule>
    <cfRule type="cellIs" dxfId="2332" priority="2409" operator="equal">
      <formula>"Moderado"</formula>
    </cfRule>
    <cfRule type="cellIs" dxfId="2331" priority="2410" operator="equal">
      <formula>"Menor"</formula>
    </cfRule>
    <cfRule type="cellIs" dxfId="2330" priority="2411" operator="equal">
      <formula>"Leve"</formula>
    </cfRule>
  </conditionalFormatting>
  <conditionalFormatting sqref="AF40">
    <cfRule type="cellIs" dxfId="2329" priority="2403" operator="equal">
      <formula>"Extremo"</formula>
    </cfRule>
    <cfRule type="cellIs" dxfId="2328" priority="2404" operator="equal">
      <formula>"Alto"</formula>
    </cfRule>
    <cfRule type="cellIs" dxfId="2327" priority="2405" operator="equal">
      <formula>"Moderado"</formula>
    </cfRule>
    <cfRule type="cellIs" dxfId="2326" priority="2406" operator="equal">
      <formula>"Bajo"</formula>
    </cfRule>
  </conditionalFormatting>
  <conditionalFormatting sqref="AB41">
    <cfRule type="cellIs" dxfId="2325" priority="2398" operator="equal">
      <formula>"Muy Alta"</formula>
    </cfRule>
    <cfRule type="cellIs" dxfId="2324" priority="2399" operator="equal">
      <formula>"Alta"</formula>
    </cfRule>
    <cfRule type="cellIs" dxfId="2323" priority="2400" operator="equal">
      <formula>"Media"</formula>
    </cfRule>
    <cfRule type="cellIs" dxfId="2322" priority="2401" operator="equal">
      <formula>"Baja"</formula>
    </cfRule>
    <cfRule type="cellIs" dxfId="2321" priority="2402" operator="equal">
      <formula>"Muy Baja"</formula>
    </cfRule>
  </conditionalFormatting>
  <conditionalFormatting sqref="AD41">
    <cfRule type="cellIs" dxfId="2320" priority="2393" operator="equal">
      <formula>"Catastrófico"</formula>
    </cfRule>
    <cfRule type="cellIs" dxfId="2319" priority="2394" operator="equal">
      <formula>"Mayor"</formula>
    </cfRule>
    <cfRule type="cellIs" dxfId="2318" priority="2395" operator="equal">
      <formula>"Moderado"</formula>
    </cfRule>
    <cfRule type="cellIs" dxfId="2317" priority="2396" operator="equal">
      <formula>"Menor"</formula>
    </cfRule>
    <cfRule type="cellIs" dxfId="2316" priority="2397" operator="equal">
      <formula>"Leve"</formula>
    </cfRule>
  </conditionalFormatting>
  <conditionalFormatting sqref="AF41">
    <cfRule type="cellIs" dxfId="2315" priority="2389" operator="equal">
      <formula>"Extremo"</formula>
    </cfRule>
    <cfRule type="cellIs" dxfId="2314" priority="2390" operator="equal">
      <formula>"Alto"</formula>
    </cfRule>
    <cfRule type="cellIs" dxfId="2313" priority="2391" operator="equal">
      <formula>"Moderado"</formula>
    </cfRule>
    <cfRule type="cellIs" dxfId="2312" priority="2392" operator="equal">
      <formula>"Bajo"</formula>
    </cfRule>
  </conditionalFormatting>
  <conditionalFormatting sqref="AB42">
    <cfRule type="cellIs" dxfId="2311" priority="2384" operator="equal">
      <formula>"Muy Alta"</formula>
    </cfRule>
    <cfRule type="cellIs" dxfId="2310" priority="2385" operator="equal">
      <formula>"Alta"</formula>
    </cfRule>
    <cfRule type="cellIs" dxfId="2309" priority="2386" operator="equal">
      <formula>"Media"</formula>
    </cfRule>
    <cfRule type="cellIs" dxfId="2308" priority="2387" operator="equal">
      <formula>"Baja"</formula>
    </cfRule>
    <cfRule type="cellIs" dxfId="2307" priority="2388" operator="equal">
      <formula>"Muy Baja"</formula>
    </cfRule>
  </conditionalFormatting>
  <conditionalFormatting sqref="AD42">
    <cfRule type="cellIs" dxfId="2306" priority="2379" operator="equal">
      <formula>"Catastrófico"</formula>
    </cfRule>
    <cfRule type="cellIs" dxfId="2305" priority="2380" operator="equal">
      <formula>"Mayor"</formula>
    </cfRule>
    <cfRule type="cellIs" dxfId="2304" priority="2381" operator="equal">
      <formula>"Moderado"</formula>
    </cfRule>
    <cfRule type="cellIs" dxfId="2303" priority="2382" operator="equal">
      <formula>"Menor"</formula>
    </cfRule>
    <cfRule type="cellIs" dxfId="2302" priority="2383" operator="equal">
      <formula>"Leve"</formula>
    </cfRule>
  </conditionalFormatting>
  <conditionalFormatting sqref="AF42">
    <cfRule type="cellIs" dxfId="2301" priority="2375" operator="equal">
      <formula>"Extremo"</formula>
    </cfRule>
    <cfRule type="cellIs" dxfId="2300" priority="2376" operator="equal">
      <formula>"Alto"</formula>
    </cfRule>
    <cfRule type="cellIs" dxfId="2299" priority="2377" operator="equal">
      <formula>"Moderado"</formula>
    </cfRule>
    <cfRule type="cellIs" dxfId="2298" priority="2378" operator="equal">
      <formula>"Bajo"</formula>
    </cfRule>
  </conditionalFormatting>
  <conditionalFormatting sqref="AB43">
    <cfRule type="cellIs" dxfId="2297" priority="2370" operator="equal">
      <formula>"Muy Alta"</formula>
    </cfRule>
    <cfRule type="cellIs" dxfId="2296" priority="2371" operator="equal">
      <formula>"Alta"</formula>
    </cfRule>
    <cfRule type="cellIs" dxfId="2295" priority="2372" operator="equal">
      <formula>"Media"</formula>
    </cfRule>
    <cfRule type="cellIs" dxfId="2294" priority="2373" operator="equal">
      <formula>"Baja"</formula>
    </cfRule>
    <cfRule type="cellIs" dxfId="2293" priority="2374" operator="equal">
      <formula>"Muy Baja"</formula>
    </cfRule>
  </conditionalFormatting>
  <conditionalFormatting sqref="AD43">
    <cfRule type="cellIs" dxfId="2292" priority="2365" operator="equal">
      <formula>"Catastrófico"</formula>
    </cfRule>
    <cfRule type="cellIs" dxfId="2291" priority="2366" operator="equal">
      <formula>"Mayor"</formula>
    </cfRule>
    <cfRule type="cellIs" dxfId="2290" priority="2367" operator="equal">
      <formula>"Moderado"</formula>
    </cfRule>
    <cfRule type="cellIs" dxfId="2289" priority="2368" operator="equal">
      <formula>"Menor"</formula>
    </cfRule>
    <cfRule type="cellIs" dxfId="2288" priority="2369" operator="equal">
      <formula>"Leve"</formula>
    </cfRule>
  </conditionalFormatting>
  <conditionalFormatting sqref="AF43">
    <cfRule type="cellIs" dxfId="2287" priority="2361" operator="equal">
      <formula>"Extremo"</formula>
    </cfRule>
    <cfRule type="cellIs" dxfId="2286" priority="2362" operator="equal">
      <formula>"Alto"</formula>
    </cfRule>
    <cfRule type="cellIs" dxfId="2285" priority="2363" operator="equal">
      <formula>"Moderado"</formula>
    </cfRule>
    <cfRule type="cellIs" dxfId="2284" priority="2364" operator="equal">
      <formula>"Bajo"</formula>
    </cfRule>
  </conditionalFormatting>
  <conditionalFormatting sqref="AB44">
    <cfRule type="cellIs" dxfId="2283" priority="2356" operator="equal">
      <formula>"Muy Alta"</formula>
    </cfRule>
    <cfRule type="cellIs" dxfId="2282" priority="2357" operator="equal">
      <formula>"Alta"</formula>
    </cfRule>
    <cfRule type="cellIs" dxfId="2281" priority="2358" operator="equal">
      <formula>"Media"</formula>
    </cfRule>
    <cfRule type="cellIs" dxfId="2280" priority="2359" operator="equal">
      <formula>"Baja"</formula>
    </cfRule>
    <cfRule type="cellIs" dxfId="2279" priority="2360" operator="equal">
      <formula>"Muy Baja"</formula>
    </cfRule>
  </conditionalFormatting>
  <conditionalFormatting sqref="AD44">
    <cfRule type="cellIs" dxfId="2278" priority="2351" operator="equal">
      <formula>"Catastrófico"</formula>
    </cfRule>
    <cfRule type="cellIs" dxfId="2277" priority="2352" operator="equal">
      <formula>"Mayor"</formula>
    </cfRule>
    <cfRule type="cellIs" dxfId="2276" priority="2353" operator="equal">
      <formula>"Moderado"</formula>
    </cfRule>
    <cfRule type="cellIs" dxfId="2275" priority="2354" operator="equal">
      <formula>"Menor"</formula>
    </cfRule>
    <cfRule type="cellIs" dxfId="2274" priority="2355" operator="equal">
      <formula>"Leve"</formula>
    </cfRule>
  </conditionalFormatting>
  <conditionalFormatting sqref="AF44">
    <cfRule type="cellIs" dxfId="2273" priority="2347" operator="equal">
      <formula>"Extremo"</formula>
    </cfRule>
    <cfRule type="cellIs" dxfId="2272" priority="2348" operator="equal">
      <formula>"Alto"</formula>
    </cfRule>
    <cfRule type="cellIs" dxfId="2271" priority="2349" operator="equal">
      <formula>"Moderado"</formula>
    </cfRule>
    <cfRule type="cellIs" dxfId="2270" priority="2350" operator="equal">
      <formula>"Bajo"</formula>
    </cfRule>
  </conditionalFormatting>
  <conditionalFormatting sqref="AB45">
    <cfRule type="cellIs" dxfId="2269" priority="2342" operator="equal">
      <formula>"Muy Alta"</formula>
    </cfRule>
    <cfRule type="cellIs" dxfId="2268" priority="2343" operator="equal">
      <formula>"Alta"</formula>
    </cfRule>
    <cfRule type="cellIs" dxfId="2267" priority="2344" operator="equal">
      <formula>"Media"</formula>
    </cfRule>
    <cfRule type="cellIs" dxfId="2266" priority="2345" operator="equal">
      <formula>"Baja"</formula>
    </cfRule>
    <cfRule type="cellIs" dxfId="2265" priority="2346" operator="equal">
      <formula>"Muy Baja"</formula>
    </cfRule>
  </conditionalFormatting>
  <conditionalFormatting sqref="AD45">
    <cfRule type="cellIs" dxfId="2264" priority="2337" operator="equal">
      <formula>"Catastrófico"</formula>
    </cfRule>
    <cfRule type="cellIs" dxfId="2263" priority="2338" operator="equal">
      <formula>"Mayor"</formula>
    </cfRule>
    <cfRule type="cellIs" dxfId="2262" priority="2339" operator="equal">
      <formula>"Moderado"</formula>
    </cfRule>
    <cfRule type="cellIs" dxfId="2261" priority="2340" operator="equal">
      <formula>"Menor"</formula>
    </cfRule>
    <cfRule type="cellIs" dxfId="2260" priority="2341" operator="equal">
      <formula>"Leve"</formula>
    </cfRule>
  </conditionalFormatting>
  <conditionalFormatting sqref="AF45">
    <cfRule type="cellIs" dxfId="2259" priority="2333" operator="equal">
      <formula>"Extremo"</formula>
    </cfRule>
    <cfRule type="cellIs" dxfId="2258" priority="2334" operator="equal">
      <formula>"Alto"</formula>
    </cfRule>
    <cfRule type="cellIs" dxfId="2257" priority="2335" operator="equal">
      <formula>"Moderado"</formula>
    </cfRule>
    <cfRule type="cellIs" dxfId="2256" priority="2336" operator="equal">
      <formula>"Bajo"</formula>
    </cfRule>
  </conditionalFormatting>
  <conditionalFormatting sqref="AB46">
    <cfRule type="cellIs" dxfId="2255" priority="2286" operator="equal">
      <formula>"Muy Alta"</formula>
    </cfRule>
    <cfRule type="cellIs" dxfId="2254" priority="2287" operator="equal">
      <formula>"Alta"</formula>
    </cfRule>
    <cfRule type="cellIs" dxfId="2253" priority="2288" operator="equal">
      <formula>"Media"</formula>
    </cfRule>
    <cfRule type="cellIs" dxfId="2252" priority="2289" operator="equal">
      <formula>"Baja"</formula>
    </cfRule>
    <cfRule type="cellIs" dxfId="2251" priority="2290" operator="equal">
      <formula>"Muy Baja"</formula>
    </cfRule>
  </conditionalFormatting>
  <conditionalFormatting sqref="AD46">
    <cfRule type="cellIs" dxfId="2250" priority="2281" operator="equal">
      <formula>"Catastrófico"</formula>
    </cfRule>
    <cfRule type="cellIs" dxfId="2249" priority="2282" operator="equal">
      <formula>"Mayor"</formula>
    </cfRule>
    <cfRule type="cellIs" dxfId="2248" priority="2283" operator="equal">
      <formula>"Moderado"</formula>
    </cfRule>
    <cfRule type="cellIs" dxfId="2247" priority="2284" operator="equal">
      <formula>"Menor"</formula>
    </cfRule>
    <cfRule type="cellIs" dxfId="2246" priority="2285" operator="equal">
      <formula>"Leve"</formula>
    </cfRule>
  </conditionalFormatting>
  <conditionalFormatting sqref="AF46">
    <cfRule type="cellIs" dxfId="2245" priority="2277" operator="equal">
      <formula>"Extremo"</formula>
    </cfRule>
    <cfRule type="cellIs" dxfId="2244" priority="2278" operator="equal">
      <formula>"Alto"</formula>
    </cfRule>
    <cfRule type="cellIs" dxfId="2243" priority="2279" operator="equal">
      <formula>"Moderado"</formula>
    </cfRule>
    <cfRule type="cellIs" dxfId="2242" priority="2280" operator="equal">
      <formula>"Bajo"</formula>
    </cfRule>
  </conditionalFormatting>
  <conditionalFormatting sqref="AB49">
    <cfRule type="cellIs" dxfId="2241" priority="2272" operator="equal">
      <formula>"Muy Alta"</formula>
    </cfRule>
    <cfRule type="cellIs" dxfId="2240" priority="2273" operator="equal">
      <formula>"Alta"</formula>
    </cfRule>
    <cfRule type="cellIs" dxfId="2239" priority="2274" operator="equal">
      <formula>"Media"</formula>
    </cfRule>
    <cfRule type="cellIs" dxfId="2238" priority="2275" operator="equal">
      <formula>"Baja"</formula>
    </cfRule>
    <cfRule type="cellIs" dxfId="2237" priority="2276" operator="equal">
      <formula>"Muy Baja"</formula>
    </cfRule>
  </conditionalFormatting>
  <conditionalFormatting sqref="AD49">
    <cfRule type="cellIs" dxfId="2236" priority="2267" operator="equal">
      <formula>"Catastrófico"</formula>
    </cfRule>
    <cfRule type="cellIs" dxfId="2235" priority="2268" operator="equal">
      <formula>"Mayor"</formula>
    </cfRule>
    <cfRule type="cellIs" dxfId="2234" priority="2269" operator="equal">
      <formula>"Moderado"</formula>
    </cfRule>
    <cfRule type="cellIs" dxfId="2233" priority="2270" operator="equal">
      <formula>"Menor"</formula>
    </cfRule>
    <cfRule type="cellIs" dxfId="2232" priority="2271" operator="equal">
      <formula>"Leve"</formula>
    </cfRule>
  </conditionalFormatting>
  <conditionalFormatting sqref="AF49">
    <cfRule type="cellIs" dxfId="2231" priority="2263" operator="equal">
      <formula>"Extremo"</formula>
    </cfRule>
    <cfRule type="cellIs" dxfId="2230" priority="2264" operator="equal">
      <formula>"Alto"</formula>
    </cfRule>
    <cfRule type="cellIs" dxfId="2229" priority="2265" operator="equal">
      <formula>"Moderado"</formula>
    </cfRule>
    <cfRule type="cellIs" dxfId="2228" priority="2266" operator="equal">
      <formula>"Bajo"</formula>
    </cfRule>
  </conditionalFormatting>
  <conditionalFormatting sqref="AB47">
    <cfRule type="cellIs" dxfId="2227" priority="2258" operator="equal">
      <formula>"Muy Alta"</formula>
    </cfRule>
    <cfRule type="cellIs" dxfId="2226" priority="2259" operator="equal">
      <formula>"Alta"</formula>
    </cfRule>
    <cfRule type="cellIs" dxfId="2225" priority="2260" operator="equal">
      <formula>"Media"</formula>
    </cfRule>
    <cfRule type="cellIs" dxfId="2224" priority="2261" operator="equal">
      <formula>"Baja"</formula>
    </cfRule>
    <cfRule type="cellIs" dxfId="2223" priority="2262" operator="equal">
      <formula>"Muy Baja"</formula>
    </cfRule>
  </conditionalFormatting>
  <conditionalFormatting sqref="AD47">
    <cfRule type="cellIs" dxfId="2222" priority="2253" operator="equal">
      <formula>"Catastrófico"</formula>
    </cfRule>
    <cfRule type="cellIs" dxfId="2221" priority="2254" operator="equal">
      <formula>"Mayor"</formula>
    </cfRule>
    <cfRule type="cellIs" dxfId="2220" priority="2255" operator="equal">
      <formula>"Moderado"</formula>
    </cfRule>
    <cfRule type="cellIs" dxfId="2219" priority="2256" operator="equal">
      <formula>"Menor"</formula>
    </cfRule>
    <cfRule type="cellIs" dxfId="2218" priority="2257" operator="equal">
      <formula>"Leve"</formula>
    </cfRule>
  </conditionalFormatting>
  <conditionalFormatting sqref="AF47">
    <cfRule type="cellIs" dxfId="2217" priority="2249" operator="equal">
      <formula>"Extremo"</formula>
    </cfRule>
    <cfRule type="cellIs" dxfId="2216" priority="2250" operator="equal">
      <formula>"Alto"</formula>
    </cfRule>
    <cfRule type="cellIs" dxfId="2215" priority="2251" operator="equal">
      <formula>"Moderado"</formula>
    </cfRule>
    <cfRule type="cellIs" dxfId="2214" priority="2252" operator="equal">
      <formula>"Bajo"</formula>
    </cfRule>
  </conditionalFormatting>
  <conditionalFormatting sqref="AB48">
    <cfRule type="cellIs" dxfId="2213" priority="2244" operator="equal">
      <formula>"Muy Alta"</formula>
    </cfRule>
    <cfRule type="cellIs" dxfId="2212" priority="2245" operator="equal">
      <formula>"Alta"</formula>
    </cfRule>
    <cfRule type="cellIs" dxfId="2211" priority="2246" operator="equal">
      <formula>"Media"</formula>
    </cfRule>
    <cfRule type="cellIs" dxfId="2210" priority="2247" operator="equal">
      <formula>"Baja"</formula>
    </cfRule>
    <cfRule type="cellIs" dxfId="2209" priority="2248" operator="equal">
      <formula>"Muy Baja"</formula>
    </cfRule>
  </conditionalFormatting>
  <conditionalFormatting sqref="AD48">
    <cfRule type="cellIs" dxfId="2208" priority="2239" operator="equal">
      <formula>"Catastrófico"</formula>
    </cfRule>
    <cfRule type="cellIs" dxfId="2207" priority="2240" operator="equal">
      <formula>"Mayor"</formula>
    </cfRule>
    <cfRule type="cellIs" dxfId="2206" priority="2241" operator="equal">
      <formula>"Moderado"</formula>
    </cfRule>
    <cfRule type="cellIs" dxfId="2205" priority="2242" operator="equal">
      <formula>"Menor"</formula>
    </cfRule>
    <cfRule type="cellIs" dxfId="2204" priority="2243" operator="equal">
      <formula>"Leve"</formula>
    </cfRule>
  </conditionalFormatting>
  <conditionalFormatting sqref="AF48">
    <cfRule type="cellIs" dxfId="2203" priority="2235" operator="equal">
      <formula>"Extremo"</formula>
    </cfRule>
    <cfRule type="cellIs" dxfId="2202" priority="2236" operator="equal">
      <formula>"Alto"</formula>
    </cfRule>
    <cfRule type="cellIs" dxfId="2201" priority="2237" operator="equal">
      <formula>"Moderado"</formula>
    </cfRule>
    <cfRule type="cellIs" dxfId="2200" priority="2238" operator="equal">
      <formula>"Bajo"</formula>
    </cfRule>
  </conditionalFormatting>
  <conditionalFormatting sqref="AB50">
    <cfRule type="cellIs" dxfId="2199" priority="2230" operator="equal">
      <formula>"Muy Alta"</formula>
    </cfRule>
    <cfRule type="cellIs" dxfId="2198" priority="2231" operator="equal">
      <formula>"Alta"</formula>
    </cfRule>
    <cfRule type="cellIs" dxfId="2197" priority="2232" operator="equal">
      <formula>"Media"</formula>
    </cfRule>
    <cfRule type="cellIs" dxfId="2196" priority="2233" operator="equal">
      <formula>"Baja"</formula>
    </cfRule>
    <cfRule type="cellIs" dxfId="2195" priority="2234" operator="equal">
      <formula>"Muy Baja"</formula>
    </cfRule>
  </conditionalFormatting>
  <conditionalFormatting sqref="AD50">
    <cfRule type="cellIs" dxfId="2194" priority="2225" operator="equal">
      <formula>"Catastrófico"</formula>
    </cfRule>
    <cfRule type="cellIs" dxfId="2193" priority="2226" operator="equal">
      <formula>"Mayor"</formula>
    </cfRule>
    <cfRule type="cellIs" dxfId="2192" priority="2227" operator="equal">
      <formula>"Moderado"</formula>
    </cfRule>
    <cfRule type="cellIs" dxfId="2191" priority="2228" operator="equal">
      <formula>"Menor"</formula>
    </cfRule>
    <cfRule type="cellIs" dxfId="2190" priority="2229" operator="equal">
      <formula>"Leve"</formula>
    </cfRule>
  </conditionalFormatting>
  <conditionalFormatting sqref="AF50">
    <cfRule type="cellIs" dxfId="2189" priority="2221" operator="equal">
      <formula>"Extremo"</formula>
    </cfRule>
    <cfRule type="cellIs" dxfId="2188" priority="2222" operator="equal">
      <formula>"Alto"</formula>
    </cfRule>
    <cfRule type="cellIs" dxfId="2187" priority="2223" operator="equal">
      <formula>"Moderado"</formula>
    </cfRule>
    <cfRule type="cellIs" dxfId="2186" priority="2224" operator="equal">
      <formula>"Bajo"</formula>
    </cfRule>
  </conditionalFormatting>
  <conditionalFormatting sqref="AB51">
    <cfRule type="cellIs" dxfId="2185" priority="2216" operator="equal">
      <formula>"Muy Alta"</formula>
    </cfRule>
    <cfRule type="cellIs" dxfId="2184" priority="2217" operator="equal">
      <formula>"Alta"</formula>
    </cfRule>
    <cfRule type="cellIs" dxfId="2183" priority="2218" operator="equal">
      <formula>"Media"</formula>
    </cfRule>
    <cfRule type="cellIs" dxfId="2182" priority="2219" operator="equal">
      <formula>"Baja"</formula>
    </cfRule>
    <cfRule type="cellIs" dxfId="2181" priority="2220" operator="equal">
      <formula>"Muy Baja"</formula>
    </cfRule>
  </conditionalFormatting>
  <conditionalFormatting sqref="AD51">
    <cfRule type="cellIs" dxfId="2180" priority="2211" operator="equal">
      <formula>"Catastrófico"</formula>
    </cfRule>
    <cfRule type="cellIs" dxfId="2179" priority="2212" operator="equal">
      <formula>"Mayor"</formula>
    </cfRule>
    <cfRule type="cellIs" dxfId="2178" priority="2213" operator="equal">
      <formula>"Moderado"</formula>
    </cfRule>
    <cfRule type="cellIs" dxfId="2177" priority="2214" operator="equal">
      <formula>"Menor"</formula>
    </cfRule>
    <cfRule type="cellIs" dxfId="2176" priority="2215" operator="equal">
      <formula>"Leve"</formula>
    </cfRule>
  </conditionalFormatting>
  <conditionalFormatting sqref="AF51">
    <cfRule type="cellIs" dxfId="2175" priority="2207" operator="equal">
      <formula>"Extremo"</formula>
    </cfRule>
    <cfRule type="cellIs" dxfId="2174" priority="2208" operator="equal">
      <formula>"Alto"</formula>
    </cfRule>
    <cfRule type="cellIs" dxfId="2173" priority="2209" operator="equal">
      <formula>"Moderado"</formula>
    </cfRule>
    <cfRule type="cellIs" dxfId="2172" priority="2210" operator="equal">
      <formula>"Bajo"</formula>
    </cfRule>
  </conditionalFormatting>
  <conditionalFormatting sqref="AB53">
    <cfRule type="cellIs" dxfId="2171" priority="2202" operator="equal">
      <formula>"Muy Alta"</formula>
    </cfRule>
    <cfRule type="cellIs" dxfId="2170" priority="2203" operator="equal">
      <formula>"Alta"</formula>
    </cfRule>
    <cfRule type="cellIs" dxfId="2169" priority="2204" operator="equal">
      <formula>"Media"</formula>
    </cfRule>
    <cfRule type="cellIs" dxfId="2168" priority="2205" operator="equal">
      <formula>"Baja"</formula>
    </cfRule>
    <cfRule type="cellIs" dxfId="2167" priority="2206" operator="equal">
      <formula>"Muy Baja"</formula>
    </cfRule>
  </conditionalFormatting>
  <conditionalFormatting sqref="AD53">
    <cfRule type="cellIs" dxfId="2166" priority="2197" operator="equal">
      <formula>"Catastrófico"</formula>
    </cfRule>
    <cfRule type="cellIs" dxfId="2165" priority="2198" operator="equal">
      <formula>"Mayor"</formula>
    </cfRule>
    <cfRule type="cellIs" dxfId="2164" priority="2199" operator="equal">
      <formula>"Moderado"</formula>
    </cfRule>
    <cfRule type="cellIs" dxfId="2163" priority="2200" operator="equal">
      <formula>"Menor"</formula>
    </cfRule>
    <cfRule type="cellIs" dxfId="2162" priority="2201" operator="equal">
      <formula>"Leve"</formula>
    </cfRule>
  </conditionalFormatting>
  <conditionalFormatting sqref="AB55">
    <cfRule type="cellIs" dxfId="2161" priority="2188" operator="equal">
      <formula>"Muy Alta"</formula>
    </cfRule>
    <cfRule type="cellIs" dxfId="2160" priority="2189" operator="equal">
      <formula>"Alta"</formula>
    </cfRule>
    <cfRule type="cellIs" dxfId="2159" priority="2190" operator="equal">
      <formula>"Media"</formula>
    </cfRule>
    <cfRule type="cellIs" dxfId="2158" priority="2191" operator="equal">
      <formula>"Baja"</formula>
    </cfRule>
    <cfRule type="cellIs" dxfId="2157" priority="2192" operator="equal">
      <formula>"Muy Baja"</formula>
    </cfRule>
  </conditionalFormatting>
  <conditionalFormatting sqref="AB54">
    <cfRule type="cellIs" dxfId="2156" priority="2174" operator="equal">
      <formula>"Muy Alta"</formula>
    </cfRule>
    <cfRule type="cellIs" dxfId="2155" priority="2175" operator="equal">
      <formula>"Alta"</formula>
    </cfRule>
    <cfRule type="cellIs" dxfId="2154" priority="2176" operator="equal">
      <formula>"Media"</formula>
    </cfRule>
    <cfRule type="cellIs" dxfId="2153" priority="2177" operator="equal">
      <formula>"Baja"</formula>
    </cfRule>
    <cfRule type="cellIs" dxfId="2152" priority="2178" operator="equal">
      <formula>"Muy Baja"</formula>
    </cfRule>
  </conditionalFormatting>
  <conditionalFormatting sqref="AD54">
    <cfRule type="cellIs" dxfId="2151" priority="2169" operator="equal">
      <formula>"Catastrófico"</formula>
    </cfRule>
    <cfRule type="cellIs" dxfId="2150" priority="2170" operator="equal">
      <formula>"Mayor"</formula>
    </cfRule>
    <cfRule type="cellIs" dxfId="2149" priority="2171" operator="equal">
      <formula>"Moderado"</formula>
    </cfRule>
    <cfRule type="cellIs" dxfId="2148" priority="2172" operator="equal">
      <formula>"Menor"</formula>
    </cfRule>
    <cfRule type="cellIs" dxfId="2147" priority="2173" operator="equal">
      <formula>"Leve"</formula>
    </cfRule>
  </conditionalFormatting>
  <conditionalFormatting sqref="AF54">
    <cfRule type="cellIs" dxfId="2146" priority="2165" operator="equal">
      <formula>"Extremo"</formula>
    </cfRule>
    <cfRule type="cellIs" dxfId="2145" priority="2166" operator="equal">
      <formula>"Alto"</formula>
    </cfRule>
    <cfRule type="cellIs" dxfId="2144" priority="2167" operator="equal">
      <formula>"Moderado"</formula>
    </cfRule>
    <cfRule type="cellIs" dxfId="2143" priority="2168" operator="equal">
      <formula>"Bajo"</formula>
    </cfRule>
  </conditionalFormatting>
  <conditionalFormatting sqref="AB56">
    <cfRule type="cellIs" dxfId="2142" priority="2160" operator="equal">
      <formula>"Muy Alta"</formula>
    </cfRule>
    <cfRule type="cellIs" dxfId="2141" priority="2161" operator="equal">
      <formula>"Alta"</formula>
    </cfRule>
    <cfRule type="cellIs" dxfId="2140" priority="2162" operator="equal">
      <formula>"Media"</formula>
    </cfRule>
    <cfRule type="cellIs" dxfId="2139" priority="2163" operator="equal">
      <formula>"Baja"</formula>
    </cfRule>
    <cfRule type="cellIs" dxfId="2138" priority="2164" operator="equal">
      <formula>"Muy Baja"</formula>
    </cfRule>
  </conditionalFormatting>
  <conditionalFormatting sqref="AD56">
    <cfRule type="cellIs" dxfId="2137" priority="2155" operator="equal">
      <formula>"Catastrófico"</formula>
    </cfRule>
    <cfRule type="cellIs" dxfId="2136" priority="2156" operator="equal">
      <formula>"Mayor"</formula>
    </cfRule>
    <cfRule type="cellIs" dxfId="2135" priority="2157" operator="equal">
      <formula>"Moderado"</formula>
    </cfRule>
    <cfRule type="cellIs" dxfId="2134" priority="2158" operator="equal">
      <formula>"Menor"</formula>
    </cfRule>
    <cfRule type="cellIs" dxfId="2133" priority="2159" operator="equal">
      <formula>"Leve"</formula>
    </cfRule>
  </conditionalFormatting>
  <conditionalFormatting sqref="AF56">
    <cfRule type="cellIs" dxfId="2132" priority="2151" operator="equal">
      <formula>"Extremo"</formula>
    </cfRule>
    <cfRule type="cellIs" dxfId="2131" priority="2152" operator="equal">
      <formula>"Alto"</formula>
    </cfRule>
    <cfRule type="cellIs" dxfId="2130" priority="2153" operator="equal">
      <formula>"Moderado"</formula>
    </cfRule>
    <cfRule type="cellIs" dxfId="2129" priority="2154" operator="equal">
      <formula>"Bajo"</formula>
    </cfRule>
  </conditionalFormatting>
  <conditionalFormatting sqref="AB57">
    <cfRule type="cellIs" dxfId="2128" priority="2146" operator="equal">
      <formula>"Muy Alta"</formula>
    </cfRule>
    <cfRule type="cellIs" dxfId="2127" priority="2147" operator="equal">
      <formula>"Alta"</formula>
    </cfRule>
    <cfRule type="cellIs" dxfId="2126" priority="2148" operator="equal">
      <formula>"Media"</formula>
    </cfRule>
    <cfRule type="cellIs" dxfId="2125" priority="2149" operator="equal">
      <formula>"Baja"</formula>
    </cfRule>
    <cfRule type="cellIs" dxfId="2124" priority="2150" operator="equal">
      <formula>"Muy Baja"</formula>
    </cfRule>
  </conditionalFormatting>
  <conditionalFormatting sqref="AD57">
    <cfRule type="cellIs" dxfId="2123" priority="2141" operator="equal">
      <formula>"Catastrófico"</formula>
    </cfRule>
    <cfRule type="cellIs" dxfId="2122" priority="2142" operator="equal">
      <formula>"Mayor"</formula>
    </cfRule>
    <cfRule type="cellIs" dxfId="2121" priority="2143" operator="equal">
      <formula>"Moderado"</formula>
    </cfRule>
    <cfRule type="cellIs" dxfId="2120" priority="2144" operator="equal">
      <formula>"Menor"</formula>
    </cfRule>
    <cfRule type="cellIs" dxfId="2119" priority="2145" operator="equal">
      <formula>"Leve"</formula>
    </cfRule>
  </conditionalFormatting>
  <conditionalFormatting sqref="AF57">
    <cfRule type="cellIs" dxfId="2118" priority="2137" operator="equal">
      <formula>"Extremo"</formula>
    </cfRule>
    <cfRule type="cellIs" dxfId="2117" priority="2138" operator="equal">
      <formula>"Alto"</formula>
    </cfRule>
    <cfRule type="cellIs" dxfId="2116" priority="2139" operator="equal">
      <formula>"Moderado"</formula>
    </cfRule>
    <cfRule type="cellIs" dxfId="2115" priority="2140" operator="equal">
      <formula>"Bajo"</formula>
    </cfRule>
  </conditionalFormatting>
  <conditionalFormatting sqref="AB59">
    <cfRule type="cellIs" dxfId="2114" priority="2132" operator="equal">
      <formula>"Muy Alta"</formula>
    </cfRule>
    <cfRule type="cellIs" dxfId="2113" priority="2133" operator="equal">
      <formula>"Alta"</formula>
    </cfRule>
    <cfRule type="cellIs" dxfId="2112" priority="2134" operator="equal">
      <formula>"Media"</formula>
    </cfRule>
    <cfRule type="cellIs" dxfId="2111" priority="2135" operator="equal">
      <formula>"Baja"</formula>
    </cfRule>
    <cfRule type="cellIs" dxfId="2110" priority="2136" operator="equal">
      <formula>"Muy Baja"</formula>
    </cfRule>
  </conditionalFormatting>
  <conditionalFormatting sqref="AD59">
    <cfRule type="cellIs" dxfId="2109" priority="2127" operator="equal">
      <formula>"Catastrófico"</formula>
    </cfRule>
    <cfRule type="cellIs" dxfId="2108" priority="2128" operator="equal">
      <formula>"Mayor"</formula>
    </cfRule>
    <cfRule type="cellIs" dxfId="2107" priority="2129" operator="equal">
      <formula>"Moderado"</formula>
    </cfRule>
    <cfRule type="cellIs" dxfId="2106" priority="2130" operator="equal">
      <formula>"Menor"</formula>
    </cfRule>
    <cfRule type="cellIs" dxfId="2105" priority="2131" operator="equal">
      <formula>"Leve"</formula>
    </cfRule>
  </conditionalFormatting>
  <conditionalFormatting sqref="AF59">
    <cfRule type="cellIs" dxfId="2104" priority="2123" operator="equal">
      <formula>"Extremo"</formula>
    </cfRule>
    <cfRule type="cellIs" dxfId="2103" priority="2124" operator="equal">
      <formula>"Alto"</formula>
    </cfRule>
    <cfRule type="cellIs" dxfId="2102" priority="2125" operator="equal">
      <formula>"Moderado"</formula>
    </cfRule>
    <cfRule type="cellIs" dxfId="2101" priority="2126" operator="equal">
      <formula>"Bajo"</formula>
    </cfRule>
  </conditionalFormatting>
  <conditionalFormatting sqref="AB60">
    <cfRule type="cellIs" dxfId="2100" priority="2118" operator="equal">
      <formula>"Muy Alta"</formula>
    </cfRule>
    <cfRule type="cellIs" dxfId="2099" priority="2119" operator="equal">
      <formula>"Alta"</formula>
    </cfRule>
    <cfRule type="cellIs" dxfId="2098" priority="2120" operator="equal">
      <formula>"Media"</formula>
    </cfRule>
    <cfRule type="cellIs" dxfId="2097" priority="2121" operator="equal">
      <formula>"Baja"</formula>
    </cfRule>
    <cfRule type="cellIs" dxfId="2096" priority="2122" operator="equal">
      <formula>"Muy Baja"</formula>
    </cfRule>
  </conditionalFormatting>
  <conditionalFormatting sqref="AD60">
    <cfRule type="cellIs" dxfId="2095" priority="2113" operator="equal">
      <formula>"Catastrófico"</formula>
    </cfRule>
    <cfRule type="cellIs" dxfId="2094" priority="2114" operator="equal">
      <formula>"Mayor"</formula>
    </cfRule>
    <cfRule type="cellIs" dxfId="2093" priority="2115" operator="equal">
      <formula>"Moderado"</formula>
    </cfRule>
    <cfRule type="cellIs" dxfId="2092" priority="2116" operator="equal">
      <formula>"Menor"</formula>
    </cfRule>
    <cfRule type="cellIs" dxfId="2091" priority="2117" operator="equal">
      <formula>"Leve"</formula>
    </cfRule>
  </conditionalFormatting>
  <conditionalFormatting sqref="AF60">
    <cfRule type="cellIs" dxfId="2090" priority="2109" operator="equal">
      <formula>"Extremo"</formula>
    </cfRule>
    <cfRule type="cellIs" dxfId="2089" priority="2110" operator="equal">
      <formula>"Alto"</formula>
    </cfRule>
    <cfRule type="cellIs" dxfId="2088" priority="2111" operator="equal">
      <formula>"Moderado"</formula>
    </cfRule>
    <cfRule type="cellIs" dxfId="2087" priority="2112" operator="equal">
      <formula>"Bajo"</formula>
    </cfRule>
  </conditionalFormatting>
  <conditionalFormatting sqref="AB62">
    <cfRule type="cellIs" dxfId="2086" priority="2104" operator="equal">
      <formula>"Muy Alta"</formula>
    </cfRule>
    <cfRule type="cellIs" dxfId="2085" priority="2105" operator="equal">
      <formula>"Alta"</formula>
    </cfRule>
    <cfRule type="cellIs" dxfId="2084" priority="2106" operator="equal">
      <formula>"Media"</formula>
    </cfRule>
    <cfRule type="cellIs" dxfId="2083" priority="2107" operator="equal">
      <formula>"Baja"</formula>
    </cfRule>
    <cfRule type="cellIs" dxfId="2082" priority="2108" operator="equal">
      <formula>"Muy Baja"</formula>
    </cfRule>
  </conditionalFormatting>
  <conditionalFormatting sqref="AD62">
    <cfRule type="cellIs" dxfId="2081" priority="2099" operator="equal">
      <formula>"Catastrófico"</formula>
    </cfRule>
    <cfRule type="cellIs" dxfId="2080" priority="2100" operator="equal">
      <formula>"Mayor"</formula>
    </cfRule>
    <cfRule type="cellIs" dxfId="2079" priority="2101" operator="equal">
      <formula>"Moderado"</formula>
    </cfRule>
    <cfRule type="cellIs" dxfId="2078" priority="2102" operator="equal">
      <formula>"Menor"</formula>
    </cfRule>
    <cfRule type="cellIs" dxfId="2077" priority="2103" operator="equal">
      <formula>"Leve"</formula>
    </cfRule>
  </conditionalFormatting>
  <conditionalFormatting sqref="AF62">
    <cfRule type="cellIs" dxfId="2076" priority="2095" operator="equal">
      <formula>"Extremo"</formula>
    </cfRule>
    <cfRule type="cellIs" dxfId="2075" priority="2096" operator="equal">
      <formula>"Alto"</formula>
    </cfRule>
    <cfRule type="cellIs" dxfId="2074" priority="2097" operator="equal">
      <formula>"Moderado"</formula>
    </cfRule>
    <cfRule type="cellIs" dxfId="2073" priority="2098" operator="equal">
      <formula>"Bajo"</formula>
    </cfRule>
  </conditionalFormatting>
  <conditionalFormatting sqref="AB63">
    <cfRule type="cellIs" dxfId="2072" priority="2090" operator="equal">
      <formula>"Muy Alta"</formula>
    </cfRule>
    <cfRule type="cellIs" dxfId="2071" priority="2091" operator="equal">
      <formula>"Alta"</formula>
    </cfRule>
    <cfRule type="cellIs" dxfId="2070" priority="2092" operator="equal">
      <formula>"Media"</formula>
    </cfRule>
    <cfRule type="cellIs" dxfId="2069" priority="2093" operator="equal">
      <formula>"Baja"</formula>
    </cfRule>
    <cfRule type="cellIs" dxfId="2068" priority="2094" operator="equal">
      <formula>"Muy Baja"</formula>
    </cfRule>
  </conditionalFormatting>
  <conditionalFormatting sqref="AD63">
    <cfRule type="cellIs" dxfId="2067" priority="2085" operator="equal">
      <formula>"Catastrófico"</formula>
    </cfRule>
    <cfRule type="cellIs" dxfId="2066" priority="2086" operator="equal">
      <formula>"Mayor"</formula>
    </cfRule>
    <cfRule type="cellIs" dxfId="2065" priority="2087" operator="equal">
      <formula>"Moderado"</formula>
    </cfRule>
    <cfRule type="cellIs" dxfId="2064" priority="2088" operator="equal">
      <formula>"Menor"</formula>
    </cfRule>
    <cfRule type="cellIs" dxfId="2063" priority="2089" operator="equal">
      <formula>"Leve"</formula>
    </cfRule>
  </conditionalFormatting>
  <conditionalFormatting sqref="AF63">
    <cfRule type="cellIs" dxfId="2062" priority="2081" operator="equal">
      <formula>"Extremo"</formula>
    </cfRule>
    <cfRule type="cellIs" dxfId="2061" priority="2082" operator="equal">
      <formula>"Alto"</formula>
    </cfRule>
    <cfRule type="cellIs" dxfId="2060" priority="2083" operator="equal">
      <formula>"Moderado"</formula>
    </cfRule>
    <cfRule type="cellIs" dxfId="2059" priority="2084" operator="equal">
      <formula>"Bajo"</formula>
    </cfRule>
  </conditionalFormatting>
  <conditionalFormatting sqref="AB65">
    <cfRule type="cellIs" dxfId="2058" priority="2076" operator="equal">
      <formula>"Muy Alta"</formula>
    </cfRule>
    <cfRule type="cellIs" dxfId="2057" priority="2077" operator="equal">
      <formula>"Alta"</formula>
    </cfRule>
    <cfRule type="cellIs" dxfId="2056" priority="2078" operator="equal">
      <formula>"Media"</formula>
    </cfRule>
    <cfRule type="cellIs" dxfId="2055" priority="2079" operator="equal">
      <formula>"Baja"</formula>
    </cfRule>
    <cfRule type="cellIs" dxfId="2054" priority="2080" operator="equal">
      <formula>"Muy Baja"</formula>
    </cfRule>
  </conditionalFormatting>
  <conditionalFormatting sqref="AD65">
    <cfRule type="cellIs" dxfId="2053" priority="2071" operator="equal">
      <formula>"Catastrófico"</formula>
    </cfRule>
    <cfRule type="cellIs" dxfId="2052" priority="2072" operator="equal">
      <formula>"Mayor"</formula>
    </cfRule>
    <cfRule type="cellIs" dxfId="2051" priority="2073" operator="equal">
      <formula>"Moderado"</formula>
    </cfRule>
    <cfRule type="cellIs" dxfId="2050" priority="2074" operator="equal">
      <formula>"Menor"</formula>
    </cfRule>
    <cfRule type="cellIs" dxfId="2049" priority="2075" operator="equal">
      <formula>"Leve"</formula>
    </cfRule>
  </conditionalFormatting>
  <conditionalFormatting sqref="AF65">
    <cfRule type="cellIs" dxfId="2048" priority="2067" operator="equal">
      <formula>"Extremo"</formula>
    </cfRule>
    <cfRule type="cellIs" dxfId="2047" priority="2068" operator="equal">
      <formula>"Alto"</formula>
    </cfRule>
    <cfRule type="cellIs" dxfId="2046" priority="2069" operator="equal">
      <formula>"Moderado"</formula>
    </cfRule>
    <cfRule type="cellIs" dxfId="2045" priority="2070" operator="equal">
      <formula>"Bajo"</formula>
    </cfRule>
  </conditionalFormatting>
  <conditionalFormatting sqref="AB66">
    <cfRule type="cellIs" dxfId="2044" priority="2062" operator="equal">
      <formula>"Muy Alta"</formula>
    </cfRule>
    <cfRule type="cellIs" dxfId="2043" priority="2063" operator="equal">
      <formula>"Alta"</formula>
    </cfRule>
    <cfRule type="cellIs" dxfId="2042" priority="2064" operator="equal">
      <formula>"Media"</formula>
    </cfRule>
    <cfRule type="cellIs" dxfId="2041" priority="2065" operator="equal">
      <formula>"Baja"</formula>
    </cfRule>
    <cfRule type="cellIs" dxfId="2040" priority="2066" operator="equal">
      <formula>"Muy Baja"</formula>
    </cfRule>
  </conditionalFormatting>
  <conditionalFormatting sqref="AD66">
    <cfRule type="cellIs" dxfId="2039" priority="2057" operator="equal">
      <formula>"Catastrófico"</formula>
    </cfRule>
    <cfRule type="cellIs" dxfId="2038" priority="2058" operator="equal">
      <formula>"Mayor"</formula>
    </cfRule>
    <cfRule type="cellIs" dxfId="2037" priority="2059" operator="equal">
      <formula>"Moderado"</formula>
    </cfRule>
    <cfRule type="cellIs" dxfId="2036" priority="2060" operator="equal">
      <formula>"Menor"</formula>
    </cfRule>
    <cfRule type="cellIs" dxfId="2035" priority="2061" operator="equal">
      <formula>"Leve"</formula>
    </cfRule>
  </conditionalFormatting>
  <conditionalFormatting sqref="AF66">
    <cfRule type="cellIs" dxfId="2034" priority="2053" operator="equal">
      <formula>"Extremo"</formula>
    </cfRule>
    <cfRule type="cellIs" dxfId="2033" priority="2054" operator="equal">
      <formula>"Alto"</formula>
    </cfRule>
    <cfRule type="cellIs" dxfId="2032" priority="2055" operator="equal">
      <formula>"Moderado"</formula>
    </cfRule>
    <cfRule type="cellIs" dxfId="2031" priority="2056" operator="equal">
      <formula>"Bajo"</formula>
    </cfRule>
  </conditionalFormatting>
  <conditionalFormatting sqref="AB68">
    <cfRule type="cellIs" dxfId="2030" priority="2048" operator="equal">
      <formula>"Muy Alta"</formula>
    </cfRule>
    <cfRule type="cellIs" dxfId="2029" priority="2049" operator="equal">
      <formula>"Alta"</formula>
    </cfRule>
    <cfRule type="cellIs" dxfId="2028" priority="2050" operator="equal">
      <formula>"Media"</formula>
    </cfRule>
    <cfRule type="cellIs" dxfId="2027" priority="2051" operator="equal">
      <formula>"Baja"</formula>
    </cfRule>
    <cfRule type="cellIs" dxfId="2026" priority="2052" operator="equal">
      <formula>"Muy Baja"</formula>
    </cfRule>
  </conditionalFormatting>
  <conditionalFormatting sqref="AD68">
    <cfRule type="cellIs" dxfId="2025" priority="2043" operator="equal">
      <formula>"Catastrófico"</formula>
    </cfRule>
    <cfRule type="cellIs" dxfId="2024" priority="2044" operator="equal">
      <formula>"Mayor"</formula>
    </cfRule>
    <cfRule type="cellIs" dxfId="2023" priority="2045" operator="equal">
      <formula>"Moderado"</formula>
    </cfRule>
    <cfRule type="cellIs" dxfId="2022" priority="2046" operator="equal">
      <formula>"Menor"</formula>
    </cfRule>
    <cfRule type="cellIs" dxfId="2021" priority="2047" operator="equal">
      <formula>"Leve"</formula>
    </cfRule>
  </conditionalFormatting>
  <conditionalFormatting sqref="AF68">
    <cfRule type="cellIs" dxfId="2020" priority="2039" operator="equal">
      <formula>"Extremo"</formula>
    </cfRule>
    <cfRule type="cellIs" dxfId="2019" priority="2040" operator="equal">
      <formula>"Alto"</formula>
    </cfRule>
    <cfRule type="cellIs" dxfId="2018" priority="2041" operator="equal">
      <formula>"Moderado"</formula>
    </cfRule>
    <cfRule type="cellIs" dxfId="2017" priority="2042" operator="equal">
      <formula>"Bajo"</formula>
    </cfRule>
  </conditionalFormatting>
  <conditionalFormatting sqref="AB69">
    <cfRule type="cellIs" dxfId="2016" priority="2034" operator="equal">
      <formula>"Muy Alta"</formula>
    </cfRule>
    <cfRule type="cellIs" dxfId="2015" priority="2035" operator="equal">
      <formula>"Alta"</formula>
    </cfRule>
    <cfRule type="cellIs" dxfId="2014" priority="2036" operator="equal">
      <formula>"Media"</formula>
    </cfRule>
    <cfRule type="cellIs" dxfId="2013" priority="2037" operator="equal">
      <formula>"Baja"</formula>
    </cfRule>
    <cfRule type="cellIs" dxfId="2012" priority="2038" operator="equal">
      <formula>"Muy Baja"</formula>
    </cfRule>
  </conditionalFormatting>
  <conditionalFormatting sqref="AD69">
    <cfRule type="cellIs" dxfId="2011" priority="2029" operator="equal">
      <formula>"Catastrófico"</formula>
    </cfRule>
    <cfRule type="cellIs" dxfId="2010" priority="2030" operator="equal">
      <formula>"Mayor"</formula>
    </cfRule>
    <cfRule type="cellIs" dxfId="2009" priority="2031" operator="equal">
      <formula>"Moderado"</formula>
    </cfRule>
    <cfRule type="cellIs" dxfId="2008" priority="2032" operator="equal">
      <formula>"Menor"</formula>
    </cfRule>
    <cfRule type="cellIs" dxfId="2007" priority="2033" operator="equal">
      <formula>"Leve"</formula>
    </cfRule>
  </conditionalFormatting>
  <conditionalFormatting sqref="AF69">
    <cfRule type="cellIs" dxfId="2006" priority="2025" operator="equal">
      <formula>"Extremo"</formula>
    </cfRule>
    <cfRule type="cellIs" dxfId="2005" priority="2026" operator="equal">
      <formula>"Alto"</formula>
    </cfRule>
    <cfRule type="cellIs" dxfId="2004" priority="2027" operator="equal">
      <formula>"Moderado"</formula>
    </cfRule>
    <cfRule type="cellIs" dxfId="2003" priority="2028" operator="equal">
      <formula>"Bajo"</formula>
    </cfRule>
  </conditionalFormatting>
  <conditionalFormatting sqref="AB71">
    <cfRule type="cellIs" dxfId="2002" priority="2020" operator="equal">
      <formula>"Muy Alta"</formula>
    </cfRule>
    <cfRule type="cellIs" dxfId="2001" priority="2021" operator="equal">
      <formula>"Alta"</formula>
    </cfRule>
    <cfRule type="cellIs" dxfId="2000" priority="2022" operator="equal">
      <formula>"Media"</formula>
    </cfRule>
    <cfRule type="cellIs" dxfId="1999" priority="2023" operator="equal">
      <formula>"Baja"</formula>
    </cfRule>
    <cfRule type="cellIs" dxfId="1998" priority="2024" operator="equal">
      <formula>"Muy Baja"</formula>
    </cfRule>
  </conditionalFormatting>
  <conditionalFormatting sqref="AD71">
    <cfRule type="cellIs" dxfId="1997" priority="2015" operator="equal">
      <formula>"Catastrófico"</formula>
    </cfRule>
    <cfRule type="cellIs" dxfId="1996" priority="2016" operator="equal">
      <formula>"Mayor"</formula>
    </cfRule>
    <cfRule type="cellIs" dxfId="1995" priority="2017" operator="equal">
      <formula>"Moderado"</formula>
    </cfRule>
    <cfRule type="cellIs" dxfId="1994" priority="2018" operator="equal">
      <formula>"Menor"</formula>
    </cfRule>
    <cfRule type="cellIs" dxfId="1993" priority="2019" operator="equal">
      <formula>"Leve"</formula>
    </cfRule>
  </conditionalFormatting>
  <conditionalFormatting sqref="AF71">
    <cfRule type="cellIs" dxfId="1992" priority="2011" operator="equal">
      <formula>"Extremo"</formula>
    </cfRule>
    <cfRule type="cellIs" dxfId="1991" priority="2012" operator="equal">
      <formula>"Alto"</formula>
    </cfRule>
    <cfRule type="cellIs" dxfId="1990" priority="2013" operator="equal">
      <formula>"Moderado"</formula>
    </cfRule>
    <cfRule type="cellIs" dxfId="1989" priority="2014" operator="equal">
      <formula>"Bajo"</formula>
    </cfRule>
  </conditionalFormatting>
  <conditionalFormatting sqref="AB72">
    <cfRule type="cellIs" dxfId="1988" priority="2006" operator="equal">
      <formula>"Muy Alta"</formula>
    </cfRule>
    <cfRule type="cellIs" dxfId="1987" priority="2007" operator="equal">
      <formula>"Alta"</formula>
    </cfRule>
    <cfRule type="cellIs" dxfId="1986" priority="2008" operator="equal">
      <formula>"Media"</formula>
    </cfRule>
    <cfRule type="cellIs" dxfId="1985" priority="2009" operator="equal">
      <formula>"Baja"</formula>
    </cfRule>
    <cfRule type="cellIs" dxfId="1984" priority="2010" operator="equal">
      <formula>"Muy Baja"</formula>
    </cfRule>
  </conditionalFormatting>
  <conditionalFormatting sqref="AD72">
    <cfRule type="cellIs" dxfId="1983" priority="2001" operator="equal">
      <formula>"Catastrófico"</formula>
    </cfRule>
    <cfRule type="cellIs" dxfId="1982" priority="2002" operator="equal">
      <formula>"Mayor"</formula>
    </cfRule>
    <cfRule type="cellIs" dxfId="1981" priority="2003" operator="equal">
      <formula>"Moderado"</formula>
    </cfRule>
    <cfRule type="cellIs" dxfId="1980" priority="2004" operator="equal">
      <formula>"Menor"</formula>
    </cfRule>
    <cfRule type="cellIs" dxfId="1979" priority="2005" operator="equal">
      <formula>"Leve"</formula>
    </cfRule>
  </conditionalFormatting>
  <conditionalFormatting sqref="AF72">
    <cfRule type="cellIs" dxfId="1978" priority="1997" operator="equal">
      <formula>"Extremo"</formula>
    </cfRule>
    <cfRule type="cellIs" dxfId="1977" priority="1998" operator="equal">
      <formula>"Alto"</formula>
    </cfRule>
    <cfRule type="cellIs" dxfId="1976" priority="1999" operator="equal">
      <formula>"Moderado"</formula>
    </cfRule>
    <cfRule type="cellIs" dxfId="1975" priority="2000" operator="equal">
      <formula>"Bajo"</formula>
    </cfRule>
  </conditionalFormatting>
  <conditionalFormatting sqref="AB73">
    <cfRule type="cellIs" dxfId="1974" priority="1992" operator="equal">
      <formula>"Muy Alta"</formula>
    </cfRule>
    <cfRule type="cellIs" dxfId="1973" priority="1993" operator="equal">
      <formula>"Alta"</formula>
    </cfRule>
    <cfRule type="cellIs" dxfId="1972" priority="1994" operator="equal">
      <formula>"Media"</formula>
    </cfRule>
    <cfRule type="cellIs" dxfId="1971" priority="1995" operator="equal">
      <formula>"Baja"</formula>
    </cfRule>
    <cfRule type="cellIs" dxfId="1970" priority="1996" operator="equal">
      <formula>"Muy Baja"</formula>
    </cfRule>
  </conditionalFormatting>
  <conditionalFormatting sqref="AD73">
    <cfRule type="cellIs" dxfId="1969" priority="1987" operator="equal">
      <formula>"Catastrófico"</formula>
    </cfRule>
    <cfRule type="cellIs" dxfId="1968" priority="1988" operator="equal">
      <formula>"Mayor"</formula>
    </cfRule>
    <cfRule type="cellIs" dxfId="1967" priority="1989" operator="equal">
      <formula>"Moderado"</formula>
    </cfRule>
    <cfRule type="cellIs" dxfId="1966" priority="1990" operator="equal">
      <formula>"Menor"</formula>
    </cfRule>
    <cfRule type="cellIs" dxfId="1965" priority="1991" operator="equal">
      <formula>"Leve"</formula>
    </cfRule>
  </conditionalFormatting>
  <conditionalFormatting sqref="AF73">
    <cfRule type="cellIs" dxfId="1964" priority="1983" operator="equal">
      <formula>"Extremo"</formula>
    </cfRule>
    <cfRule type="cellIs" dxfId="1963" priority="1984" operator="equal">
      <formula>"Alto"</formula>
    </cfRule>
    <cfRule type="cellIs" dxfId="1962" priority="1985" operator="equal">
      <formula>"Moderado"</formula>
    </cfRule>
    <cfRule type="cellIs" dxfId="1961" priority="1986" operator="equal">
      <formula>"Bajo"</formula>
    </cfRule>
  </conditionalFormatting>
  <conditionalFormatting sqref="AB74">
    <cfRule type="cellIs" dxfId="1960" priority="1978" operator="equal">
      <formula>"Muy Alta"</formula>
    </cfRule>
    <cfRule type="cellIs" dxfId="1959" priority="1979" operator="equal">
      <formula>"Alta"</formula>
    </cfRule>
    <cfRule type="cellIs" dxfId="1958" priority="1980" operator="equal">
      <formula>"Media"</formula>
    </cfRule>
    <cfRule type="cellIs" dxfId="1957" priority="1981" operator="equal">
      <formula>"Baja"</formula>
    </cfRule>
    <cfRule type="cellIs" dxfId="1956" priority="1982" operator="equal">
      <formula>"Muy Baja"</formula>
    </cfRule>
  </conditionalFormatting>
  <conditionalFormatting sqref="AD74">
    <cfRule type="cellIs" dxfId="1955" priority="1973" operator="equal">
      <formula>"Catastrófico"</formula>
    </cfRule>
    <cfRule type="cellIs" dxfId="1954" priority="1974" operator="equal">
      <formula>"Mayor"</formula>
    </cfRule>
    <cfRule type="cellIs" dxfId="1953" priority="1975" operator="equal">
      <formula>"Moderado"</formula>
    </cfRule>
    <cfRule type="cellIs" dxfId="1952" priority="1976" operator="equal">
      <formula>"Menor"</formula>
    </cfRule>
    <cfRule type="cellIs" dxfId="1951" priority="1977" operator="equal">
      <formula>"Leve"</formula>
    </cfRule>
  </conditionalFormatting>
  <conditionalFormatting sqref="AF74">
    <cfRule type="cellIs" dxfId="1950" priority="1969" operator="equal">
      <formula>"Extremo"</formula>
    </cfRule>
    <cfRule type="cellIs" dxfId="1949" priority="1970" operator="equal">
      <formula>"Alto"</formula>
    </cfRule>
    <cfRule type="cellIs" dxfId="1948" priority="1971" operator="equal">
      <formula>"Moderado"</formula>
    </cfRule>
    <cfRule type="cellIs" dxfId="1947" priority="1972" operator="equal">
      <formula>"Bajo"</formula>
    </cfRule>
  </conditionalFormatting>
  <conditionalFormatting sqref="AB75">
    <cfRule type="cellIs" dxfId="1946" priority="1964" operator="equal">
      <formula>"Muy Alta"</formula>
    </cfRule>
    <cfRule type="cellIs" dxfId="1945" priority="1965" operator="equal">
      <formula>"Alta"</formula>
    </cfRule>
    <cfRule type="cellIs" dxfId="1944" priority="1966" operator="equal">
      <formula>"Media"</formula>
    </cfRule>
    <cfRule type="cellIs" dxfId="1943" priority="1967" operator="equal">
      <formula>"Baja"</formula>
    </cfRule>
    <cfRule type="cellIs" dxfId="1942" priority="1968" operator="equal">
      <formula>"Muy Baja"</formula>
    </cfRule>
  </conditionalFormatting>
  <conditionalFormatting sqref="AD75">
    <cfRule type="cellIs" dxfId="1941" priority="1959" operator="equal">
      <formula>"Catastrófico"</formula>
    </cfRule>
    <cfRule type="cellIs" dxfId="1940" priority="1960" operator="equal">
      <formula>"Mayor"</formula>
    </cfRule>
    <cfRule type="cellIs" dxfId="1939" priority="1961" operator="equal">
      <formula>"Moderado"</formula>
    </cfRule>
    <cfRule type="cellIs" dxfId="1938" priority="1962" operator="equal">
      <formula>"Menor"</formula>
    </cfRule>
    <cfRule type="cellIs" dxfId="1937" priority="1963" operator="equal">
      <formula>"Leve"</formula>
    </cfRule>
  </conditionalFormatting>
  <conditionalFormatting sqref="AF75">
    <cfRule type="cellIs" dxfId="1936" priority="1955" operator="equal">
      <formula>"Extremo"</formula>
    </cfRule>
    <cfRule type="cellIs" dxfId="1935" priority="1956" operator="equal">
      <formula>"Alto"</formula>
    </cfRule>
    <cfRule type="cellIs" dxfId="1934" priority="1957" operator="equal">
      <formula>"Moderado"</formula>
    </cfRule>
    <cfRule type="cellIs" dxfId="1933" priority="1958" operator="equal">
      <formula>"Bajo"</formula>
    </cfRule>
  </conditionalFormatting>
  <conditionalFormatting sqref="AB77">
    <cfRule type="cellIs" dxfId="1932" priority="1950" operator="equal">
      <formula>"Muy Alta"</formula>
    </cfRule>
    <cfRule type="cellIs" dxfId="1931" priority="1951" operator="equal">
      <formula>"Alta"</formula>
    </cfRule>
    <cfRule type="cellIs" dxfId="1930" priority="1952" operator="equal">
      <formula>"Media"</formula>
    </cfRule>
    <cfRule type="cellIs" dxfId="1929" priority="1953" operator="equal">
      <formula>"Baja"</formula>
    </cfRule>
    <cfRule type="cellIs" dxfId="1928" priority="1954" operator="equal">
      <formula>"Muy Baja"</formula>
    </cfRule>
  </conditionalFormatting>
  <conditionalFormatting sqref="AD77">
    <cfRule type="cellIs" dxfId="1927" priority="1945" operator="equal">
      <formula>"Catastrófico"</formula>
    </cfRule>
    <cfRule type="cellIs" dxfId="1926" priority="1946" operator="equal">
      <formula>"Mayor"</formula>
    </cfRule>
    <cfRule type="cellIs" dxfId="1925" priority="1947" operator="equal">
      <formula>"Moderado"</formula>
    </cfRule>
    <cfRule type="cellIs" dxfId="1924" priority="1948" operator="equal">
      <formula>"Menor"</formula>
    </cfRule>
    <cfRule type="cellIs" dxfId="1923" priority="1949" operator="equal">
      <formula>"Leve"</formula>
    </cfRule>
  </conditionalFormatting>
  <conditionalFormatting sqref="AF77">
    <cfRule type="cellIs" dxfId="1922" priority="1941" operator="equal">
      <formula>"Extremo"</formula>
    </cfRule>
    <cfRule type="cellIs" dxfId="1921" priority="1942" operator="equal">
      <formula>"Alto"</formula>
    </cfRule>
    <cfRule type="cellIs" dxfId="1920" priority="1943" operator="equal">
      <formula>"Moderado"</formula>
    </cfRule>
    <cfRule type="cellIs" dxfId="1919" priority="1944" operator="equal">
      <formula>"Bajo"</formula>
    </cfRule>
  </conditionalFormatting>
  <conditionalFormatting sqref="AB76">
    <cfRule type="cellIs" dxfId="1918" priority="1936" operator="equal">
      <formula>"Muy Alta"</formula>
    </cfRule>
    <cfRule type="cellIs" dxfId="1917" priority="1937" operator="equal">
      <formula>"Alta"</formula>
    </cfRule>
    <cfRule type="cellIs" dxfId="1916" priority="1938" operator="equal">
      <formula>"Media"</formula>
    </cfRule>
    <cfRule type="cellIs" dxfId="1915" priority="1939" operator="equal">
      <formula>"Baja"</formula>
    </cfRule>
    <cfRule type="cellIs" dxfId="1914" priority="1940" operator="equal">
      <formula>"Muy Baja"</formula>
    </cfRule>
  </conditionalFormatting>
  <conditionalFormatting sqref="AD76">
    <cfRule type="cellIs" dxfId="1913" priority="1931" operator="equal">
      <formula>"Catastrófico"</formula>
    </cfRule>
    <cfRule type="cellIs" dxfId="1912" priority="1932" operator="equal">
      <formula>"Mayor"</formula>
    </cfRule>
    <cfRule type="cellIs" dxfId="1911" priority="1933" operator="equal">
      <formula>"Moderado"</formula>
    </cfRule>
    <cfRule type="cellIs" dxfId="1910" priority="1934" operator="equal">
      <formula>"Menor"</formula>
    </cfRule>
    <cfRule type="cellIs" dxfId="1909" priority="1935" operator="equal">
      <formula>"Leve"</formula>
    </cfRule>
  </conditionalFormatting>
  <conditionalFormatting sqref="AF76">
    <cfRule type="cellIs" dxfId="1908" priority="1927" operator="equal">
      <formula>"Extremo"</formula>
    </cfRule>
    <cfRule type="cellIs" dxfId="1907" priority="1928" operator="equal">
      <formula>"Alto"</formula>
    </cfRule>
    <cfRule type="cellIs" dxfId="1906" priority="1929" operator="equal">
      <formula>"Moderado"</formula>
    </cfRule>
    <cfRule type="cellIs" dxfId="1905" priority="1930" operator="equal">
      <formula>"Bajo"</formula>
    </cfRule>
  </conditionalFormatting>
  <conditionalFormatting sqref="AB78">
    <cfRule type="cellIs" dxfId="1904" priority="1922" operator="equal">
      <formula>"Muy Alta"</formula>
    </cfRule>
    <cfRule type="cellIs" dxfId="1903" priority="1923" operator="equal">
      <formula>"Alta"</formula>
    </cfRule>
    <cfRule type="cellIs" dxfId="1902" priority="1924" operator="equal">
      <formula>"Media"</formula>
    </cfRule>
    <cfRule type="cellIs" dxfId="1901" priority="1925" operator="equal">
      <formula>"Baja"</formula>
    </cfRule>
    <cfRule type="cellIs" dxfId="1900" priority="1926" operator="equal">
      <formula>"Muy Baja"</formula>
    </cfRule>
  </conditionalFormatting>
  <conditionalFormatting sqref="AD78">
    <cfRule type="cellIs" dxfId="1899" priority="1917" operator="equal">
      <formula>"Catastrófico"</formula>
    </cfRule>
    <cfRule type="cellIs" dxfId="1898" priority="1918" operator="equal">
      <formula>"Mayor"</formula>
    </cfRule>
    <cfRule type="cellIs" dxfId="1897" priority="1919" operator="equal">
      <formula>"Moderado"</formula>
    </cfRule>
    <cfRule type="cellIs" dxfId="1896" priority="1920" operator="equal">
      <formula>"Menor"</formula>
    </cfRule>
    <cfRule type="cellIs" dxfId="1895" priority="1921" operator="equal">
      <formula>"Leve"</formula>
    </cfRule>
  </conditionalFormatting>
  <conditionalFormatting sqref="AF78">
    <cfRule type="cellIs" dxfId="1894" priority="1913" operator="equal">
      <formula>"Extremo"</formula>
    </cfRule>
    <cfRule type="cellIs" dxfId="1893" priority="1914" operator="equal">
      <formula>"Alto"</formula>
    </cfRule>
    <cfRule type="cellIs" dxfId="1892" priority="1915" operator="equal">
      <formula>"Moderado"</formula>
    </cfRule>
    <cfRule type="cellIs" dxfId="1891" priority="1916" operator="equal">
      <formula>"Bajo"</formula>
    </cfRule>
  </conditionalFormatting>
  <conditionalFormatting sqref="AB80">
    <cfRule type="cellIs" dxfId="1890" priority="1908" operator="equal">
      <formula>"Muy Alta"</formula>
    </cfRule>
    <cfRule type="cellIs" dxfId="1889" priority="1909" operator="equal">
      <formula>"Alta"</formula>
    </cfRule>
    <cfRule type="cellIs" dxfId="1888" priority="1910" operator="equal">
      <formula>"Media"</formula>
    </cfRule>
    <cfRule type="cellIs" dxfId="1887" priority="1911" operator="equal">
      <formula>"Baja"</formula>
    </cfRule>
    <cfRule type="cellIs" dxfId="1886" priority="1912" operator="equal">
      <formula>"Muy Baja"</formula>
    </cfRule>
  </conditionalFormatting>
  <conditionalFormatting sqref="AD80">
    <cfRule type="cellIs" dxfId="1885" priority="1903" operator="equal">
      <formula>"Catastrófico"</formula>
    </cfRule>
    <cfRule type="cellIs" dxfId="1884" priority="1904" operator="equal">
      <formula>"Mayor"</formula>
    </cfRule>
    <cfRule type="cellIs" dxfId="1883" priority="1905" operator="equal">
      <formula>"Moderado"</formula>
    </cfRule>
    <cfRule type="cellIs" dxfId="1882" priority="1906" operator="equal">
      <formula>"Menor"</formula>
    </cfRule>
    <cfRule type="cellIs" dxfId="1881" priority="1907" operator="equal">
      <formula>"Leve"</formula>
    </cfRule>
  </conditionalFormatting>
  <conditionalFormatting sqref="AF80">
    <cfRule type="cellIs" dxfId="1880" priority="1899" operator="equal">
      <formula>"Extremo"</formula>
    </cfRule>
    <cfRule type="cellIs" dxfId="1879" priority="1900" operator="equal">
      <formula>"Alto"</formula>
    </cfRule>
    <cfRule type="cellIs" dxfId="1878" priority="1901" operator="equal">
      <formula>"Moderado"</formula>
    </cfRule>
    <cfRule type="cellIs" dxfId="1877" priority="1902" operator="equal">
      <formula>"Bajo"</formula>
    </cfRule>
  </conditionalFormatting>
  <conditionalFormatting sqref="AB81">
    <cfRule type="cellIs" dxfId="1876" priority="1894" operator="equal">
      <formula>"Muy Alta"</formula>
    </cfRule>
    <cfRule type="cellIs" dxfId="1875" priority="1895" operator="equal">
      <formula>"Alta"</formula>
    </cfRule>
    <cfRule type="cellIs" dxfId="1874" priority="1896" operator="equal">
      <formula>"Media"</formula>
    </cfRule>
    <cfRule type="cellIs" dxfId="1873" priority="1897" operator="equal">
      <formula>"Baja"</formula>
    </cfRule>
    <cfRule type="cellIs" dxfId="1872" priority="1898" operator="equal">
      <formula>"Muy Baja"</formula>
    </cfRule>
  </conditionalFormatting>
  <conditionalFormatting sqref="AD81">
    <cfRule type="cellIs" dxfId="1871" priority="1889" operator="equal">
      <formula>"Catastrófico"</formula>
    </cfRule>
    <cfRule type="cellIs" dxfId="1870" priority="1890" operator="equal">
      <formula>"Mayor"</formula>
    </cfRule>
    <cfRule type="cellIs" dxfId="1869" priority="1891" operator="equal">
      <formula>"Moderado"</formula>
    </cfRule>
    <cfRule type="cellIs" dxfId="1868" priority="1892" operator="equal">
      <formula>"Menor"</formula>
    </cfRule>
    <cfRule type="cellIs" dxfId="1867" priority="1893" operator="equal">
      <formula>"Leve"</formula>
    </cfRule>
  </conditionalFormatting>
  <conditionalFormatting sqref="AF81">
    <cfRule type="cellIs" dxfId="1866" priority="1885" operator="equal">
      <formula>"Extremo"</formula>
    </cfRule>
    <cfRule type="cellIs" dxfId="1865" priority="1886" operator="equal">
      <formula>"Alto"</formula>
    </cfRule>
    <cfRule type="cellIs" dxfId="1864" priority="1887" operator="equal">
      <formula>"Moderado"</formula>
    </cfRule>
    <cfRule type="cellIs" dxfId="1863" priority="1888" operator="equal">
      <formula>"Bajo"</formula>
    </cfRule>
  </conditionalFormatting>
  <conditionalFormatting sqref="AB83">
    <cfRule type="cellIs" dxfId="1862" priority="1880" operator="equal">
      <formula>"Muy Alta"</formula>
    </cfRule>
    <cfRule type="cellIs" dxfId="1861" priority="1881" operator="equal">
      <formula>"Alta"</formula>
    </cfRule>
    <cfRule type="cellIs" dxfId="1860" priority="1882" operator="equal">
      <formula>"Media"</formula>
    </cfRule>
    <cfRule type="cellIs" dxfId="1859" priority="1883" operator="equal">
      <formula>"Baja"</formula>
    </cfRule>
    <cfRule type="cellIs" dxfId="1858" priority="1884" operator="equal">
      <formula>"Muy Baja"</formula>
    </cfRule>
  </conditionalFormatting>
  <conditionalFormatting sqref="AD83">
    <cfRule type="cellIs" dxfId="1857" priority="1875" operator="equal">
      <formula>"Catastrófico"</formula>
    </cfRule>
    <cfRule type="cellIs" dxfId="1856" priority="1876" operator="equal">
      <formula>"Mayor"</formula>
    </cfRule>
    <cfRule type="cellIs" dxfId="1855" priority="1877" operator="equal">
      <formula>"Moderado"</formula>
    </cfRule>
    <cfRule type="cellIs" dxfId="1854" priority="1878" operator="equal">
      <formula>"Menor"</formula>
    </cfRule>
    <cfRule type="cellIs" dxfId="1853" priority="1879" operator="equal">
      <formula>"Leve"</formula>
    </cfRule>
  </conditionalFormatting>
  <conditionalFormatting sqref="AF83">
    <cfRule type="cellIs" dxfId="1852" priority="1871" operator="equal">
      <formula>"Extremo"</formula>
    </cfRule>
    <cfRule type="cellIs" dxfId="1851" priority="1872" operator="equal">
      <formula>"Alto"</formula>
    </cfRule>
    <cfRule type="cellIs" dxfId="1850" priority="1873" operator="equal">
      <formula>"Moderado"</formula>
    </cfRule>
    <cfRule type="cellIs" dxfId="1849" priority="1874" operator="equal">
      <formula>"Bajo"</formula>
    </cfRule>
  </conditionalFormatting>
  <conditionalFormatting sqref="AB84">
    <cfRule type="cellIs" dxfId="1848" priority="1866" operator="equal">
      <formula>"Muy Alta"</formula>
    </cfRule>
    <cfRule type="cellIs" dxfId="1847" priority="1867" operator="equal">
      <formula>"Alta"</formula>
    </cfRule>
    <cfRule type="cellIs" dxfId="1846" priority="1868" operator="equal">
      <formula>"Media"</formula>
    </cfRule>
    <cfRule type="cellIs" dxfId="1845" priority="1869" operator="equal">
      <formula>"Baja"</formula>
    </cfRule>
    <cfRule type="cellIs" dxfId="1844" priority="1870" operator="equal">
      <formula>"Muy Baja"</formula>
    </cfRule>
  </conditionalFormatting>
  <conditionalFormatting sqref="AD84">
    <cfRule type="cellIs" dxfId="1843" priority="1861" operator="equal">
      <formula>"Catastrófico"</formula>
    </cfRule>
    <cfRule type="cellIs" dxfId="1842" priority="1862" operator="equal">
      <formula>"Mayor"</formula>
    </cfRule>
    <cfRule type="cellIs" dxfId="1841" priority="1863" operator="equal">
      <formula>"Moderado"</formula>
    </cfRule>
    <cfRule type="cellIs" dxfId="1840" priority="1864" operator="equal">
      <formula>"Menor"</formula>
    </cfRule>
    <cfRule type="cellIs" dxfId="1839" priority="1865" operator="equal">
      <formula>"Leve"</formula>
    </cfRule>
  </conditionalFormatting>
  <conditionalFormatting sqref="AF84">
    <cfRule type="cellIs" dxfId="1838" priority="1857" operator="equal">
      <formula>"Extremo"</formula>
    </cfRule>
    <cfRule type="cellIs" dxfId="1837" priority="1858" operator="equal">
      <formula>"Alto"</formula>
    </cfRule>
    <cfRule type="cellIs" dxfId="1836" priority="1859" operator="equal">
      <formula>"Moderado"</formula>
    </cfRule>
    <cfRule type="cellIs" dxfId="1835" priority="1860" operator="equal">
      <formula>"Bajo"</formula>
    </cfRule>
  </conditionalFormatting>
  <conditionalFormatting sqref="AB86">
    <cfRule type="cellIs" dxfId="1834" priority="1852" operator="equal">
      <formula>"Muy Alta"</formula>
    </cfRule>
    <cfRule type="cellIs" dxfId="1833" priority="1853" operator="equal">
      <formula>"Alta"</formula>
    </cfRule>
    <cfRule type="cellIs" dxfId="1832" priority="1854" operator="equal">
      <formula>"Media"</formula>
    </cfRule>
    <cfRule type="cellIs" dxfId="1831" priority="1855" operator="equal">
      <formula>"Baja"</formula>
    </cfRule>
    <cfRule type="cellIs" dxfId="1830" priority="1856" operator="equal">
      <formula>"Muy Baja"</formula>
    </cfRule>
  </conditionalFormatting>
  <conditionalFormatting sqref="AD86">
    <cfRule type="cellIs" dxfId="1829" priority="1847" operator="equal">
      <formula>"Catastrófico"</formula>
    </cfRule>
    <cfRule type="cellIs" dxfId="1828" priority="1848" operator="equal">
      <formula>"Mayor"</formula>
    </cfRule>
    <cfRule type="cellIs" dxfId="1827" priority="1849" operator="equal">
      <formula>"Moderado"</formula>
    </cfRule>
    <cfRule type="cellIs" dxfId="1826" priority="1850" operator="equal">
      <formula>"Menor"</formula>
    </cfRule>
    <cfRule type="cellIs" dxfId="1825" priority="1851" operator="equal">
      <formula>"Leve"</formula>
    </cfRule>
  </conditionalFormatting>
  <conditionalFormatting sqref="AF86">
    <cfRule type="cellIs" dxfId="1824" priority="1843" operator="equal">
      <formula>"Extremo"</formula>
    </cfRule>
    <cfRule type="cellIs" dxfId="1823" priority="1844" operator="equal">
      <formula>"Alto"</formula>
    </cfRule>
    <cfRule type="cellIs" dxfId="1822" priority="1845" operator="equal">
      <formula>"Moderado"</formula>
    </cfRule>
    <cfRule type="cellIs" dxfId="1821" priority="1846" operator="equal">
      <formula>"Bajo"</formula>
    </cfRule>
  </conditionalFormatting>
  <conditionalFormatting sqref="AB87">
    <cfRule type="cellIs" dxfId="1820" priority="1838" operator="equal">
      <formula>"Muy Alta"</formula>
    </cfRule>
    <cfRule type="cellIs" dxfId="1819" priority="1839" operator="equal">
      <formula>"Alta"</formula>
    </cfRule>
    <cfRule type="cellIs" dxfId="1818" priority="1840" operator="equal">
      <formula>"Media"</formula>
    </cfRule>
    <cfRule type="cellIs" dxfId="1817" priority="1841" operator="equal">
      <formula>"Baja"</formula>
    </cfRule>
    <cfRule type="cellIs" dxfId="1816" priority="1842" operator="equal">
      <formula>"Muy Baja"</formula>
    </cfRule>
  </conditionalFormatting>
  <conditionalFormatting sqref="AD87">
    <cfRule type="cellIs" dxfId="1815" priority="1833" operator="equal">
      <formula>"Catastrófico"</formula>
    </cfRule>
    <cfRule type="cellIs" dxfId="1814" priority="1834" operator="equal">
      <formula>"Mayor"</formula>
    </cfRule>
    <cfRule type="cellIs" dxfId="1813" priority="1835" operator="equal">
      <formula>"Moderado"</formula>
    </cfRule>
    <cfRule type="cellIs" dxfId="1812" priority="1836" operator="equal">
      <formula>"Menor"</formula>
    </cfRule>
    <cfRule type="cellIs" dxfId="1811" priority="1837" operator="equal">
      <formula>"Leve"</formula>
    </cfRule>
  </conditionalFormatting>
  <conditionalFormatting sqref="AF87">
    <cfRule type="cellIs" dxfId="1810" priority="1829" operator="equal">
      <formula>"Extremo"</formula>
    </cfRule>
    <cfRule type="cellIs" dxfId="1809" priority="1830" operator="equal">
      <formula>"Alto"</formula>
    </cfRule>
    <cfRule type="cellIs" dxfId="1808" priority="1831" operator="equal">
      <formula>"Moderado"</formula>
    </cfRule>
    <cfRule type="cellIs" dxfId="1807" priority="1832" operator="equal">
      <formula>"Bajo"</formula>
    </cfRule>
  </conditionalFormatting>
  <conditionalFormatting sqref="AB89">
    <cfRule type="cellIs" dxfId="1806" priority="1824" operator="equal">
      <formula>"Muy Alta"</formula>
    </cfRule>
    <cfRule type="cellIs" dxfId="1805" priority="1825" operator="equal">
      <formula>"Alta"</formula>
    </cfRule>
    <cfRule type="cellIs" dxfId="1804" priority="1826" operator="equal">
      <formula>"Media"</formula>
    </cfRule>
    <cfRule type="cellIs" dxfId="1803" priority="1827" operator="equal">
      <formula>"Baja"</formula>
    </cfRule>
    <cfRule type="cellIs" dxfId="1802" priority="1828" operator="equal">
      <formula>"Muy Baja"</formula>
    </cfRule>
  </conditionalFormatting>
  <conditionalFormatting sqref="AD89">
    <cfRule type="cellIs" dxfId="1801" priority="1819" operator="equal">
      <formula>"Catastrófico"</formula>
    </cfRule>
    <cfRule type="cellIs" dxfId="1800" priority="1820" operator="equal">
      <formula>"Mayor"</formula>
    </cfRule>
    <cfRule type="cellIs" dxfId="1799" priority="1821" operator="equal">
      <formula>"Moderado"</formula>
    </cfRule>
    <cfRule type="cellIs" dxfId="1798" priority="1822" operator="equal">
      <formula>"Menor"</formula>
    </cfRule>
    <cfRule type="cellIs" dxfId="1797" priority="1823" operator="equal">
      <formula>"Leve"</formula>
    </cfRule>
  </conditionalFormatting>
  <conditionalFormatting sqref="AF89">
    <cfRule type="cellIs" dxfId="1796" priority="1815" operator="equal">
      <formula>"Extremo"</formula>
    </cfRule>
    <cfRule type="cellIs" dxfId="1795" priority="1816" operator="equal">
      <formula>"Alto"</formula>
    </cfRule>
    <cfRule type="cellIs" dxfId="1794" priority="1817" operator="equal">
      <formula>"Moderado"</formula>
    </cfRule>
    <cfRule type="cellIs" dxfId="1793" priority="1818" operator="equal">
      <formula>"Bajo"</formula>
    </cfRule>
  </conditionalFormatting>
  <conditionalFormatting sqref="AB91">
    <cfRule type="cellIs" dxfId="1792" priority="1810" operator="equal">
      <formula>"Muy Alta"</formula>
    </cfRule>
    <cfRule type="cellIs" dxfId="1791" priority="1811" operator="equal">
      <formula>"Alta"</formula>
    </cfRule>
    <cfRule type="cellIs" dxfId="1790" priority="1812" operator="equal">
      <formula>"Media"</formula>
    </cfRule>
    <cfRule type="cellIs" dxfId="1789" priority="1813" operator="equal">
      <formula>"Baja"</formula>
    </cfRule>
    <cfRule type="cellIs" dxfId="1788" priority="1814" operator="equal">
      <formula>"Muy Baja"</formula>
    </cfRule>
  </conditionalFormatting>
  <conditionalFormatting sqref="AD91">
    <cfRule type="cellIs" dxfId="1787" priority="1805" operator="equal">
      <formula>"Catastrófico"</formula>
    </cfRule>
    <cfRule type="cellIs" dxfId="1786" priority="1806" operator="equal">
      <formula>"Mayor"</formula>
    </cfRule>
    <cfRule type="cellIs" dxfId="1785" priority="1807" operator="equal">
      <formula>"Moderado"</formula>
    </cfRule>
    <cfRule type="cellIs" dxfId="1784" priority="1808" operator="equal">
      <formula>"Menor"</formula>
    </cfRule>
    <cfRule type="cellIs" dxfId="1783" priority="1809" operator="equal">
      <formula>"Leve"</formula>
    </cfRule>
  </conditionalFormatting>
  <conditionalFormatting sqref="AF91">
    <cfRule type="cellIs" dxfId="1782" priority="1801" operator="equal">
      <formula>"Extremo"</formula>
    </cfRule>
    <cfRule type="cellIs" dxfId="1781" priority="1802" operator="equal">
      <formula>"Alto"</formula>
    </cfRule>
    <cfRule type="cellIs" dxfId="1780" priority="1803" operator="equal">
      <formula>"Moderado"</formula>
    </cfRule>
    <cfRule type="cellIs" dxfId="1779" priority="1804" operator="equal">
      <formula>"Bajo"</formula>
    </cfRule>
  </conditionalFormatting>
  <conditionalFormatting sqref="AB90">
    <cfRule type="cellIs" dxfId="1778" priority="1796" operator="equal">
      <formula>"Muy Alta"</formula>
    </cfRule>
    <cfRule type="cellIs" dxfId="1777" priority="1797" operator="equal">
      <formula>"Alta"</formula>
    </cfRule>
    <cfRule type="cellIs" dxfId="1776" priority="1798" operator="equal">
      <formula>"Media"</formula>
    </cfRule>
    <cfRule type="cellIs" dxfId="1775" priority="1799" operator="equal">
      <formula>"Baja"</formula>
    </cfRule>
    <cfRule type="cellIs" dxfId="1774" priority="1800" operator="equal">
      <formula>"Muy Baja"</formula>
    </cfRule>
  </conditionalFormatting>
  <conditionalFormatting sqref="AD90">
    <cfRule type="cellIs" dxfId="1773" priority="1791" operator="equal">
      <formula>"Catastrófico"</formula>
    </cfRule>
    <cfRule type="cellIs" dxfId="1772" priority="1792" operator="equal">
      <formula>"Mayor"</formula>
    </cfRule>
    <cfRule type="cellIs" dxfId="1771" priority="1793" operator="equal">
      <formula>"Moderado"</formula>
    </cfRule>
    <cfRule type="cellIs" dxfId="1770" priority="1794" operator="equal">
      <formula>"Menor"</formula>
    </cfRule>
    <cfRule type="cellIs" dxfId="1769" priority="1795" operator="equal">
      <formula>"Leve"</formula>
    </cfRule>
  </conditionalFormatting>
  <conditionalFormatting sqref="AF90">
    <cfRule type="cellIs" dxfId="1768" priority="1787" operator="equal">
      <formula>"Extremo"</formula>
    </cfRule>
    <cfRule type="cellIs" dxfId="1767" priority="1788" operator="equal">
      <formula>"Alto"</formula>
    </cfRule>
    <cfRule type="cellIs" dxfId="1766" priority="1789" operator="equal">
      <formula>"Moderado"</formula>
    </cfRule>
    <cfRule type="cellIs" dxfId="1765" priority="1790" operator="equal">
      <formula>"Bajo"</formula>
    </cfRule>
  </conditionalFormatting>
  <conditionalFormatting sqref="AB92">
    <cfRule type="cellIs" dxfId="1764" priority="1782" operator="equal">
      <formula>"Muy Alta"</formula>
    </cfRule>
    <cfRule type="cellIs" dxfId="1763" priority="1783" operator="equal">
      <formula>"Alta"</formula>
    </cfRule>
    <cfRule type="cellIs" dxfId="1762" priority="1784" operator="equal">
      <formula>"Media"</formula>
    </cfRule>
    <cfRule type="cellIs" dxfId="1761" priority="1785" operator="equal">
      <formula>"Baja"</formula>
    </cfRule>
    <cfRule type="cellIs" dxfId="1760" priority="1786" operator="equal">
      <formula>"Muy Baja"</formula>
    </cfRule>
  </conditionalFormatting>
  <conditionalFormatting sqref="AD92">
    <cfRule type="cellIs" dxfId="1759" priority="1777" operator="equal">
      <formula>"Catastrófico"</formula>
    </cfRule>
    <cfRule type="cellIs" dxfId="1758" priority="1778" operator="equal">
      <formula>"Mayor"</formula>
    </cfRule>
    <cfRule type="cellIs" dxfId="1757" priority="1779" operator="equal">
      <formula>"Moderado"</formula>
    </cfRule>
    <cfRule type="cellIs" dxfId="1756" priority="1780" operator="equal">
      <formula>"Menor"</formula>
    </cfRule>
    <cfRule type="cellIs" dxfId="1755" priority="1781" operator="equal">
      <formula>"Leve"</formula>
    </cfRule>
  </conditionalFormatting>
  <conditionalFormatting sqref="AF92">
    <cfRule type="cellIs" dxfId="1754" priority="1773" operator="equal">
      <formula>"Extremo"</formula>
    </cfRule>
    <cfRule type="cellIs" dxfId="1753" priority="1774" operator="equal">
      <formula>"Alto"</formula>
    </cfRule>
    <cfRule type="cellIs" dxfId="1752" priority="1775" operator="equal">
      <formula>"Moderado"</formula>
    </cfRule>
    <cfRule type="cellIs" dxfId="1751" priority="1776" operator="equal">
      <formula>"Bajo"</formula>
    </cfRule>
  </conditionalFormatting>
  <conditionalFormatting sqref="AB93">
    <cfRule type="cellIs" dxfId="1750" priority="1768" operator="equal">
      <formula>"Muy Alta"</formula>
    </cfRule>
    <cfRule type="cellIs" dxfId="1749" priority="1769" operator="equal">
      <formula>"Alta"</formula>
    </cfRule>
    <cfRule type="cellIs" dxfId="1748" priority="1770" operator="equal">
      <formula>"Media"</formula>
    </cfRule>
    <cfRule type="cellIs" dxfId="1747" priority="1771" operator="equal">
      <formula>"Baja"</formula>
    </cfRule>
    <cfRule type="cellIs" dxfId="1746" priority="1772" operator="equal">
      <formula>"Muy Baja"</formula>
    </cfRule>
  </conditionalFormatting>
  <conditionalFormatting sqref="AD93">
    <cfRule type="cellIs" dxfId="1745" priority="1763" operator="equal">
      <formula>"Catastrófico"</formula>
    </cfRule>
    <cfRule type="cellIs" dxfId="1744" priority="1764" operator="equal">
      <formula>"Mayor"</formula>
    </cfRule>
    <cfRule type="cellIs" dxfId="1743" priority="1765" operator="equal">
      <formula>"Moderado"</formula>
    </cfRule>
    <cfRule type="cellIs" dxfId="1742" priority="1766" operator="equal">
      <formula>"Menor"</formula>
    </cfRule>
    <cfRule type="cellIs" dxfId="1741" priority="1767" operator="equal">
      <formula>"Leve"</formula>
    </cfRule>
  </conditionalFormatting>
  <conditionalFormatting sqref="AF93">
    <cfRule type="cellIs" dxfId="1740" priority="1759" operator="equal">
      <formula>"Extremo"</formula>
    </cfRule>
    <cfRule type="cellIs" dxfId="1739" priority="1760" operator="equal">
      <formula>"Alto"</formula>
    </cfRule>
    <cfRule type="cellIs" dxfId="1738" priority="1761" operator="equal">
      <formula>"Moderado"</formula>
    </cfRule>
    <cfRule type="cellIs" dxfId="1737" priority="1762" operator="equal">
      <formula>"Bajo"</formula>
    </cfRule>
  </conditionalFormatting>
  <conditionalFormatting sqref="AB95">
    <cfRule type="cellIs" dxfId="1736" priority="1754" operator="equal">
      <formula>"Muy Alta"</formula>
    </cfRule>
    <cfRule type="cellIs" dxfId="1735" priority="1755" operator="equal">
      <formula>"Alta"</formula>
    </cfRule>
    <cfRule type="cellIs" dxfId="1734" priority="1756" operator="equal">
      <formula>"Media"</formula>
    </cfRule>
    <cfRule type="cellIs" dxfId="1733" priority="1757" operator="equal">
      <formula>"Baja"</formula>
    </cfRule>
    <cfRule type="cellIs" dxfId="1732" priority="1758" operator="equal">
      <formula>"Muy Baja"</formula>
    </cfRule>
  </conditionalFormatting>
  <conditionalFormatting sqref="AD95">
    <cfRule type="cellIs" dxfId="1731" priority="1749" operator="equal">
      <formula>"Catastrófico"</formula>
    </cfRule>
    <cfRule type="cellIs" dxfId="1730" priority="1750" operator="equal">
      <formula>"Mayor"</formula>
    </cfRule>
    <cfRule type="cellIs" dxfId="1729" priority="1751" operator="equal">
      <formula>"Moderado"</formula>
    </cfRule>
    <cfRule type="cellIs" dxfId="1728" priority="1752" operator="equal">
      <formula>"Menor"</formula>
    </cfRule>
    <cfRule type="cellIs" dxfId="1727" priority="1753" operator="equal">
      <formula>"Leve"</formula>
    </cfRule>
  </conditionalFormatting>
  <conditionalFormatting sqref="AF95">
    <cfRule type="cellIs" dxfId="1726" priority="1745" operator="equal">
      <formula>"Extremo"</formula>
    </cfRule>
    <cfRule type="cellIs" dxfId="1725" priority="1746" operator="equal">
      <formula>"Alto"</formula>
    </cfRule>
    <cfRule type="cellIs" dxfId="1724" priority="1747" operator="equal">
      <formula>"Moderado"</formula>
    </cfRule>
    <cfRule type="cellIs" dxfId="1723" priority="1748" operator="equal">
      <formula>"Bajo"</formula>
    </cfRule>
  </conditionalFormatting>
  <conditionalFormatting sqref="AB96">
    <cfRule type="cellIs" dxfId="1722" priority="1740" operator="equal">
      <formula>"Muy Alta"</formula>
    </cfRule>
    <cfRule type="cellIs" dxfId="1721" priority="1741" operator="equal">
      <formula>"Alta"</formula>
    </cfRule>
    <cfRule type="cellIs" dxfId="1720" priority="1742" operator="equal">
      <formula>"Media"</formula>
    </cfRule>
    <cfRule type="cellIs" dxfId="1719" priority="1743" operator="equal">
      <formula>"Baja"</formula>
    </cfRule>
    <cfRule type="cellIs" dxfId="1718" priority="1744" operator="equal">
      <formula>"Muy Baja"</formula>
    </cfRule>
  </conditionalFormatting>
  <conditionalFormatting sqref="AD96">
    <cfRule type="cellIs" dxfId="1717" priority="1735" operator="equal">
      <formula>"Catastrófico"</formula>
    </cfRule>
    <cfRule type="cellIs" dxfId="1716" priority="1736" operator="equal">
      <formula>"Mayor"</formula>
    </cfRule>
    <cfRule type="cellIs" dxfId="1715" priority="1737" operator="equal">
      <formula>"Moderado"</formula>
    </cfRule>
    <cfRule type="cellIs" dxfId="1714" priority="1738" operator="equal">
      <formula>"Menor"</formula>
    </cfRule>
    <cfRule type="cellIs" dxfId="1713" priority="1739" operator="equal">
      <formula>"Leve"</formula>
    </cfRule>
  </conditionalFormatting>
  <conditionalFormatting sqref="AF96">
    <cfRule type="cellIs" dxfId="1712" priority="1731" operator="equal">
      <formula>"Extremo"</formula>
    </cfRule>
    <cfRule type="cellIs" dxfId="1711" priority="1732" operator="equal">
      <formula>"Alto"</formula>
    </cfRule>
    <cfRule type="cellIs" dxfId="1710" priority="1733" operator="equal">
      <formula>"Moderado"</formula>
    </cfRule>
    <cfRule type="cellIs" dxfId="1709" priority="1734" operator="equal">
      <formula>"Bajo"</formula>
    </cfRule>
  </conditionalFormatting>
  <conditionalFormatting sqref="AB97">
    <cfRule type="cellIs" dxfId="1708" priority="1726" operator="equal">
      <formula>"Muy Alta"</formula>
    </cfRule>
    <cfRule type="cellIs" dxfId="1707" priority="1727" operator="equal">
      <formula>"Alta"</formula>
    </cfRule>
    <cfRule type="cellIs" dxfId="1706" priority="1728" operator="equal">
      <formula>"Media"</formula>
    </cfRule>
    <cfRule type="cellIs" dxfId="1705" priority="1729" operator="equal">
      <formula>"Baja"</formula>
    </cfRule>
    <cfRule type="cellIs" dxfId="1704" priority="1730" operator="equal">
      <formula>"Muy Baja"</formula>
    </cfRule>
  </conditionalFormatting>
  <conditionalFormatting sqref="AD97">
    <cfRule type="cellIs" dxfId="1703" priority="1721" operator="equal">
      <formula>"Catastrófico"</formula>
    </cfRule>
    <cfRule type="cellIs" dxfId="1702" priority="1722" operator="equal">
      <formula>"Mayor"</formula>
    </cfRule>
    <cfRule type="cellIs" dxfId="1701" priority="1723" operator="equal">
      <formula>"Moderado"</formula>
    </cfRule>
    <cfRule type="cellIs" dxfId="1700" priority="1724" operator="equal">
      <formula>"Menor"</formula>
    </cfRule>
    <cfRule type="cellIs" dxfId="1699" priority="1725" operator="equal">
      <formula>"Leve"</formula>
    </cfRule>
  </conditionalFormatting>
  <conditionalFormatting sqref="AF97">
    <cfRule type="cellIs" dxfId="1698" priority="1717" operator="equal">
      <formula>"Extremo"</formula>
    </cfRule>
    <cfRule type="cellIs" dxfId="1697" priority="1718" operator="equal">
      <formula>"Alto"</formula>
    </cfRule>
    <cfRule type="cellIs" dxfId="1696" priority="1719" operator="equal">
      <formula>"Moderado"</formula>
    </cfRule>
    <cfRule type="cellIs" dxfId="1695" priority="1720" operator="equal">
      <formula>"Bajo"</formula>
    </cfRule>
  </conditionalFormatting>
  <conditionalFormatting sqref="AB100">
    <cfRule type="cellIs" dxfId="1694" priority="1712" operator="equal">
      <formula>"Muy Alta"</formula>
    </cfRule>
    <cfRule type="cellIs" dxfId="1693" priority="1713" operator="equal">
      <formula>"Alta"</formula>
    </cfRule>
    <cfRule type="cellIs" dxfId="1692" priority="1714" operator="equal">
      <formula>"Media"</formula>
    </cfRule>
    <cfRule type="cellIs" dxfId="1691" priority="1715" operator="equal">
      <formula>"Baja"</formula>
    </cfRule>
    <cfRule type="cellIs" dxfId="1690" priority="1716" operator="equal">
      <formula>"Muy Baja"</formula>
    </cfRule>
  </conditionalFormatting>
  <conditionalFormatting sqref="AD100">
    <cfRule type="cellIs" dxfId="1689" priority="1707" operator="equal">
      <formula>"Catastrófico"</formula>
    </cfRule>
    <cfRule type="cellIs" dxfId="1688" priority="1708" operator="equal">
      <formula>"Mayor"</formula>
    </cfRule>
    <cfRule type="cellIs" dxfId="1687" priority="1709" operator="equal">
      <formula>"Moderado"</formula>
    </cfRule>
    <cfRule type="cellIs" dxfId="1686" priority="1710" operator="equal">
      <formula>"Menor"</formula>
    </cfRule>
    <cfRule type="cellIs" dxfId="1685" priority="1711" operator="equal">
      <formula>"Leve"</formula>
    </cfRule>
  </conditionalFormatting>
  <conditionalFormatting sqref="AF100">
    <cfRule type="cellIs" dxfId="1684" priority="1703" operator="equal">
      <formula>"Extremo"</formula>
    </cfRule>
    <cfRule type="cellIs" dxfId="1683" priority="1704" operator="equal">
      <formula>"Alto"</formula>
    </cfRule>
    <cfRule type="cellIs" dxfId="1682" priority="1705" operator="equal">
      <formula>"Moderado"</formula>
    </cfRule>
    <cfRule type="cellIs" dxfId="1681" priority="1706" operator="equal">
      <formula>"Bajo"</formula>
    </cfRule>
  </conditionalFormatting>
  <conditionalFormatting sqref="AB98">
    <cfRule type="cellIs" dxfId="1680" priority="1698" operator="equal">
      <formula>"Muy Alta"</formula>
    </cfRule>
    <cfRule type="cellIs" dxfId="1679" priority="1699" operator="equal">
      <formula>"Alta"</formula>
    </cfRule>
    <cfRule type="cellIs" dxfId="1678" priority="1700" operator="equal">
      <formula>"Media"</formula>
    </cfRule>
    <cfRule type="cellIs" dxfId="1677" priority="1701" operator="equal">
      <formula>"Baja"</formula>
    </cfRule>
    <cfRule type="cellIs" dxfId="1676" priority="1702" operator="equal">
      <formula>"Muy Baja"</formula>
    </cfRule>
  </conditionalFormatting>
  <conditionalFormatting sqref="AD98">
    <cfRule type="cellIs" dxfId="1675" priority="1693" operator="equal">
      <formula>"Catastrófico"</formula>
    </cfRule>
    <cfRule type="cellIs" dxfId="1674" priority="1694" operator="equal">
      <formula>"Mayor"</formula>
    </cfRule>
    <cfRule type="cellIs" dxfId="1673" priority="1695" operator="equal">
      <formula>"Moderado"</formula>
    </cfRule>
    <cfRule type="cellIs" dxfId="1672" priority="1696" operator="equal">
      <formula>"Menor"</formula>
    </cfRule>
    <cfRule type="cellIs" dxfId="1671" priority="1697" operator="equal">
      <formula>"Leve"</formula>
    </cfRule>
  </conditionalFormatting>
  <conditionalFormatting sqref="AF98">
    <cfRule type="cellIs" dxfId="1670" priority="1689" operator="equal">
      <formula>"Extremo"</formula>
    </cfRule>
    <cfRule type="cellIs" dxfId="1669" priority="1690" operator="equal">
      <formula>"Alto"</formula>
    </cfRule>
    <cfRule type="cellIs" dxfId="1668" priority="1691" operator="equal">
      <formula>"Moderado"</formula>
    </cfRule>
    <cfRule type="cellIs" dxfId="1667" priority="1692" operator="equal">
      <formula>"Bajo"</formula>
    </cfRule>
  </conditionalFormatting>
  <conditionalFormatting sqref="AB99">
    <cfRule type="cellIs" dxfId="1666" priority="1684" operator="equal">
      <formula>"Muy Alta"</formula>
    </cfRule>
    <cfRule type="cellIs" dxfId="1665" priority="1685" operator="equal">
      <formula>"Alta"</formula>
    </cfRule>
    <cfRule type="cellIs" dxfId="1664" priority="1686" operator="equal">
      <formula>"Media"</formula>
    </cfRule>
    <cfRule type="cellIs" dxfId="1663" priority="1687" operator="equal">
      <formula>"Baja"</formula>
    </cfRule>
    <cfRule type="cellIs" dxfId="1662" priority="1688" operator="equal">
      <formula>"Muy Baja"</formula>
    </cfRule>
  </conditionalFormatting>
  <conditionalFormatting sqref="AD99">
    <cfRule type="cellIs" dxfId="1661" priority="1679" operator="equal">
      <formula>"Catastrófico"</formula>
    </cfRule>
    <cfRule type="cellIs" dxfId="1660" priority="1680" operator="equal">
      <formula>"Mayor"</formula>
    </cfRule>
    <cfRule type="cellIs" dxfId="1659" priority="1681" operator="equal">
      <formula>"Moderado"</formula>
    </cfRule>
    <cfRule type="cellIs" dxfId="1658" priority="1682" operator="equal">
      <formula>"Menor"</formula>
    </cfRule>
    <cfRule type="cellIs" dxfId="1657" priority="1683" operator="equal">
      <formula>"Leve"</formula>
    </cfRule>
  </conditionalFormatting>
  <conditionalFormatting sqref="AF99">
    <cfRule type="cellIs" dxfId="1656" priority="1675" operator="equal">
      <formula>"Extremo"</formula>
    </cfRule>
    <cfRule type="cellIs" dxfId="1655" priority="1676" operator="equal">
      <formula>"Alto"</formula>
    </cfRule>
    <cfRule type="cellIs" dxfId="1654" priority="1677" operator="equal">
      <formula>"Moderado"</formula>
    </cfRule>
    <cfRule type="cellIs" dxfId="1653" priority="1678" operator="equal">
      <formula>"Bajo"</formula>
    </cfRule>
  </conditionalFormatting>
  <conditionalFormatting sqref="AB101">
    <cfRule type="cellIs" dxfId="1652" priority="1670" operator="equal">
      <formula>"Muy Alta"</formula>
    </cfRule>
    <cfRule type="cellIs" dxfId="1651" priority="1671" operator="equal">
      <formula>"Alta"</formula>
    </cfRule>
    <cfRule type="cellIs" dxfId="1650" priority="1672" operator="equal">
      <formula>"Media"</formula>
    </cfRule>
    <cfRule type="cellIs" dxfId="1649" priority="1673" operator="equal">
      <formula>"Baja"</formula>
    </cfRule>
    <cfRule type="cellIs" dxfId="1648" priority="1674" operator="equal">
      <formula>"Muy Baja"</formula>
    </cfRule>
  </conditionalFormatting>
  <conditionalFormatting sqref="AD101">
    <cfRule type="cellIs" dxfId="1647" priority="1665" operator="equal">
      <formula>"Catastrófico"</formula>
    </cfRule>
    <cfRule type="cellIs" dxfId="1646" priority="1666" operator="equal">
      <formula>"Mayor"</formula>
    </cfRule>
    <cfRule type="cellIs" dxfId="1645" priority="1667" operator="equal">
      <formula>"Moderado"</formula>
    </cfRule>
    <cfRule type="cellIs" dxfId="1644" priority="1668" operator="equal">
      <formula>"Menor"</formula>
    </cfRule>
    <cfRule type="cellIs" dxfId="1643" priority="1669" operator="equal">
      <formula>"Leve"</formula>
    </cfRule>
  </conditionalFormatting>
  <conditionalFormatting sqref="AF101">
    <cfRule type="cellIs" dxfId="1642" priority="1661" operator="equal">
      <formula>"Extremo"</formula>
    </cfRule>
    <cfRule type="cellIs" dxfId="1641" priority="1662" operator="equal">
      <formula>"Alto"</formula>
    </cfRule>
    <cfRule type="cellIs" dxfId="1640" priority="1663" operator="equal">
      <formula>"Moderado"</formula>
    </cfRule>
    <cfRule type="cellIs" dxfId="1639" priority="1664" operator="equal">
      <formula>"Bajo"</formula>
    </cfRule>
  </conditionalFormatting>
  <conditionalFormatting sqref="AB102">
    <cfRule type="cellIs" dxfId="1638" priority="1656" operator="equal">
      <formula>"Muy Alta"</formula>
    </cfRule>
    <cfRule type="cellIs" dxfId="1637" priority="1657" operator="equal">
      <formula>"Alta"</formula>
    </cfRule>
    <cfRule type="cellIs" dxfId="1636" priority="1658" operator="equal">
      <formula>"Media"</formula>
    </cfRule>
    <cfRule type="cellIs" dxfId="1635" priority="1659" operator="equal">
      <formula>"Baja"</formula>
    </cfRule>
    <cfRule type="cellIs" dxfId="1634" priority="1660" operator="equal">
      <formula>"Muy Baja"</formula>
    </cfRule>
  </conditionalFormatting>
  <conditionalFormatting sqref="AD102">
    <cfRule type="cellIs" dxfId="1633" priority="1651" operator="equal">
      <formula>"Catastrófico"</formula>
    </cfRule>
    <cfRule type="cellIs" dxfId="1632" priority="1652" operator="equal">
      <formula>"Mayor"</formula>
    </cfRule>
    <cfRule type="cellIs" dxfId="1631" priority="1653" operator="equal">
      <formula>"Moderado"</formula>
    </cfRule>
    <cfRule type="cellIs" dxfId="1630" priority="1654" operator="equal">
      <formula>"Menor"</formula>
    </cfRule>
    <cfRule type="cellIs" dxfId="1629" priority="1655" operator="equal">
      <formula>"Leve"</formula>
    </cfRule>
  </conditionalFormatting>
  <conditionalFormatting sqref="AF102">
    <cfRule type="cellIs" dxfId="1628" priority="1647" operator="equal">
      <formula>"Extremo"</formula>
    </cfRule>
    <cfRule type="cellIs" dxfId="1627" priority="1648" operator="equal">
      <formula>"Alto"</formula>
    </cfRule>
    <cfRule type="cellIs" dxfId="1626" priority="1649" operator="equal">
      <formula>"Moderado"</formula>
    </cfRule>
    <cfRule type="cellIs" dxfId="1625" priority="1650" operator="equal">
      <formula>"Bajo"</formula>
    </cfRule>
  </conditionalFormatting>
  <conditionalFormatting sqref="AB104">
    <cfRule type="cellIs" dxfId="1624" priority="1642" operator="equal">
      <formula>"Muy Alta"</formula>
    </cfRule>
    <cfRule type="cellIs" dxfId="1623" priority="1643" operator="equal">
      <formula>"Alta"</formula>
    </cfRule>
    <cfRule type="cellIs" dxfId="1622" priority="1644" operator="equal">
      <formula>"Media"</formula>
    </cfRule>
    <cfRule type="cellIs" dxfId="1621" priority="1645" operator="equal">
      <formula>"Baja"</formula>
    </cfRule>
    <cfRule type="cellIs" dxfId="1620" priority="1646" operator="equal">
      <formula>"Muy Baja"</formula>
    </cfRule>
  </conditionalFormatting>
  <conditionalFormatting sqref="AD104">
    <cfRule type="cellIs" dxfId="1619" priority="1637" operator="equal">
      <formula>"Catastrófico"</formula>
    </cfRule>
    <cfRule type="cellIs" dxfId="1618" priority="1638" operator="equal">
      <formula>"Mayor"</formula>
    </cfRule>
    <cfRule type="cellIs" dxfId="1617" priority="1639" operator="equal">
      <formula>"Moderado"</formula>
    </cfRule>
    <cfRule type="cellIs" dxfId="1616" priority="1640" operator="equal">
      <formula>"Menor"</formula>
    </cfRule>
    <cfRule type="cellIs" dxfId="1615" priority="1641" operator="equal">
      <formula>"Leve"</formula>
    </cfRule>
  </conditionalFormatting>
  <conditionalFormatting sqref="AF104">
    <cfRule type="cellIs" dxfId="1614" priority="1633" operator="equal">
      <formula>"Extremo"</formula>
    </cfRule>
    <cfRule type="cellIs" dxfId="1613" priority="1634" operator="equal">
      <formula>"Alto"</formula>
    </cfRule>
    <cfRule type="cellIs" dxfId="1612" priority="1635" operator="equal">
      <formula>"Moderado"</formula>
    </cfRule>
    <cfRule type="cellIs" dxfId="1611" priority="1636" operator="equal">
      <formula>"Bajo"</formula>
    </cfRule>
  </conditionalFormatting>
  <conditionalFormatting sqref="AB105">
    <cfRule type="cellIs" dxfId="1610" priority="1628" operator="equal">
      <formula>"Muy Alta"</formula>
    </cfRule>
    <cfRule type="cellIs" dxfId="1609" priority="1629" operator="equal">
      <formula>"Alta"</formula>
    </cfRule>
    <cfRule type="cellIs" dxfId="1608" priority="1630" operator="equal">
      <formula>"Media"</formula>
    </cfRule>
    <cfRule type="cellIs" dxfId="1607" priority="1631" operator="equal">
      <formula>"Baja"</formula>
    </cfRule>
    <cfRule type="cellIs" dxfId="1606" priority="1632" operator="equal">
      <formula>"Muy Baja"</formula>
    </cfRule>
  </conditionalFormatting>
  <conditionalFormatting sqref="AD105">
    <cfRule type="cellIs" dxfId="1605" priority="1623" operator="equal">
      <formula>"Catastrófico"</formula>
    </cfRule>
    <cfRule type="cellIs" dxfId="1604" priority="1624" operator="equal">
      <formula>"Mayor"</formula>
    </cfRule>
    <cfRule type="cellIs" dxfId="1603" priority="1625" operator="equal">
      <formula>"Moderado"</formula>
    </cfRule>
    <cfRule type="cellIs" dxfId="1602" priority="1626" operator="equal">
      <formula>"Menor"</formula>
    </cfRule>
    <cfRule type="cellIs" dxfId="1601" priority="1627" operator="equal">
      <formula>"Leve"</formula>
    </cfRule>
  </conditionalFormatting>
  <conditionalFormatting sqref="AF105">
    <cfRule type="cellIs" dxfId="1600" priority="1619" operator="equal">
      <formula>"Extremo"</formula>
    </cfRule>
    <cfRule type="cellIs" dxfId="1599" priority="1620" operator="equal">
      <formula>"Alto"</formula>
    </cfRule>
    <cfRule type="cellIs" dxfId="1598" priority="1621" operator="equal">
      <formula>"Moderado"</formula>
    </cfRule>
    <cfRule type="cellIs" dxfId="1597" priority="1622" operator="equal">
      <formula>"Bajo"</formula>
    </cfRule>
  </conditionalFormatting>
  <conditionalFormatting sqref="AB121">
    <cfRule type="cellIs" dxfId="1596" priority="1614" operator="equal">
      <formula>"Muy Alta"</formula>
    </cfRule>
    <cfRule type="cellIs" dxfId="1595" priority="1615" operator="equal">
      <formula>"Alta"</formula>
    </cfRule>
    <cfRule type="cellIs" dxfId="1594" priority="1616" operator="equal">
      <formula>"Media"</formula>
    </cfRule>
    <cfRule type="cellIs" dxfId="1593" priority="1617" operator="equal">
      <formula>"Baja"</formula>
    </cfRule>
    <cfRule type="cellIs" dxfId="1592" priority="1618" operator="equal">
      <formula>"Muy Baja"</formula>
    </cfRule>
  </conditionalFormatting>
  <conditionalFormatting sqref="AD121">
    <cfRule type="cellIs" dxfId="1591" priority="1609" operator="equal">
      <formula>"Catastrófico"</formula>
    </cfRule>
    <cfRule type="cellIs" dxfId="1590" priority="1610" operator="equal">
      <formula>"Mayor"</formula>
    </cfRule>
    <cfRule type="cellIs" dxfId="1589" priority="1611" operator="equal">
      <formula>"Moderado"</formula>
    </cfRule>
    <cfRule type="cellIs" dxfId="1588" priority="1612" operator="equal">
      <formula>"Menor"</formula>
    </cfRule>
    <cfRule type="cellIs" dxfId="1587" priority="1613" operator="equal">
      <formula>"Leve"</formula>
    </cfRule>
  </conditionalFormatting>
  <conditionalFormatting sqref="AF121">
    <cfRule type="cellIs" dxfId="1586" priority="1605" operator="equal">
      <formula>"Extremo"</formula>
    </cfRule>
    <cfRule type="cellIs" dxfId="1585" priority="1606" operator="equal">
      <formula>"Alto"</formula>
    </cfRule>
    <cfRule type="cellIs" dxfId="1584" priority="1607" operator="equal">
      <formula>"Moderado"</formula>
    </cfRule>
    <cfRule type="cellIs" dxfId="1583" priority="1608" operator="equal">
      <formula>"Bajo"</formula>
    </cfRule>
  </conditionalFormatting>
  <conditionalFormatting sqref="AB122">
    <cfRule type="cellIs" dxfId="1582" priority="1600" operator="equal">
      <formula>"Muy Alta"</formula>
    </cfRule>
    <cfRule type="cellIs" dxfId="1581" priority="1601" operator="equal">
      <formula>"Alta"</formula>
    </cfRule>
    <cfRule type="cellIs" dxfId="1580" priority="1602" operator="equal">
      <formula>"Media"</formula>
    </cfRule>
    <cfRule type="cellIs" dxfId="1579" priority="1603" operator="equal">
      <formula>"Baja"</formula>
    </cfRule>
    <cfRule type="cellIs" dxfId="1578" priority="1604" operator="equal">
      <formula>"Muy Baja"</formula>
    </cfRule>
  </conditionalFormatting>
  <conditionalFormatting sqref="AD122">
    <cfRule type="cellIs" dxfId="1577" priority="1595" operator="equal">
      <formula>"Catastrófico"</formula>
    </cfRule>
    <cfRule type="cellIs" dxfId="1576" priority="1596" operator="equal">
      <formula>"Mayor"</formula>
    </cfRule>
    <cfRule type="cellIs" dxfId="1575" priority="1597" operator="equal">
      <formula>"Moderado"</formula>
    </cfRule>
    <cfRule type="cellIs" dxfId="1574" priority="1598" operator="equal">
      <formula>"Menor"</formula>
    </cfRule>
    <cfRule type="cellIs" dxfId="1573" priority="1599" operator="equal">
      <formula>"Leve"</formula>
    </cfRule>
  </conditionalFormatting>
  <conditionalFormatting sqref="AF122">
    <cfRule type="cellIs" dxfId="1572" priority="1591" operator="equal">
      <formula>"Extremo"</formula>
    </cfRule>
    <cfRule type="cellIs" dxfId="1571" priority="1592" operator="equal">
      <formula>"Alto"</formula>
    </cfRule>
    <cfRule type="cellIs" dxfId="1570" priority="1593" operator="equal">
      <formula>"Moderado"</formula>
    </cfRule>
    <cfRule type="cellIs" dxfId="1569" priority="1594" operator="equal">
      <formula>"Bajo"</formula>
    </cfRule>
  </conditionalFormatting>
  <conditionalFormatting sqref="AB123">
    <cfRule type="cellIs" dxfId="1568" priority="1586" operator="equal">
      <formula>"Muy Alta"</formula>
    </cfRule>
    <cfRule type="cellIs" dxfId="1567" priority="1587" operator="equal">
      <formula>"Alta"</formula>
    </cfRule>
    <cfRule type="cellIs" dxfId="1566" priority="1588" operator="equal">
      <formula>"Media"</formula>
    </cfRule>
    <cfRule type="cellIs" dxfId="1565" priority="1589" operator="equal">
      <formula>"Baja"</formula>
    </cfRule>
    <cfRule type="cellIs" dxfId="1564" priority="1590" operator="equal">
      <formula>"Muy Baja"</formula>
    </cfRule>
  </conditionalFormatting>
  <conditionalFormatting sqref="AD123">
    <cfRule type="cellIs" dxfId="1563" priority="1581" operator="equal">
      <formula>"Catastrófico"</formula>
    </cfRule>
    <cfRule type="cellIs" dxfId="1562" priority="1582" operator="equal">
      <formula>"Mayor"</formula>
    </cfRule>
    <cfRule type="cellIs" dxfId="1561" priority="1583" operator="equal">
      <formula>"Moderado"</formula>
    </cfRule>
    <cfRule type="cellIs" dxfId="1560" priority="1584" operator="equal">
      <formula>"Menor"</formula>
    </cfRule>
    <cfRule type="cellIs" dxfId="1559" priority="1585" operator="equal">
      <formula>"Leve"</formula>
    </cfRule>
  </conditionalFormatting>
  <conditionalFormatting sqref="AF123">
    <cfRule type="cellIs" dxfId="1558" priority="1577" operator="equal">
      <formula>"Extremo"</formula>
    </cfRule>
    <cfRule type="cellIs" dxfId="1557" priority="1578" operator="equal">
      <formula>"Alto"</formula>
    </cfRule>
    <cfRule type="cellIs" dxfId="1556" priority="1579" operator="equal">
      <formula>"Moderado"</formula>
    </cfRule>
    <cfRule type="cellIs" dxfId="1555" priority="1580" operator="equal">
      <formula>"Bajo"</formula>
    </cfRule>
  </conditionalFormatting>
  <conditionalFormatting sqref="K10">
    <cfRule type="cellIs" dxfId="1554" priority="1572" operator="equal">
      <formula>"Muy Alta"</formula>
    </cfRule>
    <cfRule type="cellIs" dxfId="1553" priority="1573" operator="equal">
      <formula>"Alta"</formula>
    </cfRule>
    <cfRule type="cellIs" dxfId="1552" priority="1574" operator="equal">
      <formula>"Media"</formula>
    </cfRule>
    <cfRule type="cellIs" dxfId="1551" priority="1575" operator="equal">
      <formula>"Baja"</formula>
    </cfRule>
    <cfRule type="cellIs" dxfId="1550" priority="1576" operator="equal">
      <formula>"Muy Baja"</formula>
    </cfRule>
  </conditionalFormatting>
  <conditionalFormatting sqref="O10">
    <cfRule type="cellIs" dxfId="1549" priority="1567" operator="equal">
      <formula>"Catastrófico"</formula>
    </cfRule>
    <cfRule type="cellIs" dxfId="1548" priority="1568" operator="equal">
      <formula>"Mayor"</formula>
    </cfRule>
    <cfRule type="cellIs" dxfId="1547" priority="1569" operator="equal">
      <formula>"Moderado"</formula>
    </cfRule>
    <cfRule type="cellIs" dxfId="1546" priority="1570" operator="equal">
      <formula>"Menor"</formula>
    </cfRule>
    <cfRule type="cellIs" dxfId="1545" priority="1571" operator="equal">
      <formula>"Leve"</formula>
    </cfRule>
  </conditionalFormatting>
  <conditionalFormatting sqref="Q10">
    <cfRule type="cellIs" dxfId="1544" priority="1563" operator="equal">
      <formula>"Extremo"</formula>
    </cfRule>
    <cfRule type="cellIs" dxfId="1543" priority="1564" operator="equal">
      <formula>"Alto"</formula>
    </cfRule>
    <cfRule type="cellIs" dxfId="1542" priority="1565" operator="equal">
      <formula>"Moderado"</formula>
    </cfRule>
    <cfRule type="cellIs" dxfId="1541" priority="1566" operator="equal">
      <formula>"Bajo"</formula>
    </cfRule>
  </conditionalFormatting>
  <conditionalFormatting sqref="N10:N12">
    <cfRule type="containsText" dxfId="1540" priority="1562" operator="containsText" text="❌">
      <formula>NOT(ISERROR(SEARCH("❌",N10)))</formula>
    </cfRule>
  </conditionalFormatting>
  <conditionalFormatting sqref="K13">
    <cfRule type="cellIs" dxfId="1539" priority="1557" operator="equal">
      <formula>"Muy Alta"</formula>
    </cfRule>
    <cfRule type="cellIs" dxfId="1538" priority="1558" operator="equal">
      <formula>"Alta"</formula>
    </cfRule>
    <cfRule type="cellIs" dxfId="1537" priority="1559" operator="equal">
      <formula>"Media"</formula>
    </cfRule>
    <cfRule type="cellIs" dxfId="1536" priority="1560" operator="equal">
      <formula>"Baja"</formula>
    </cfRule>
    <cfRule type="cellIs" dxfId="1535" priority="1561" operator="equal">
      <formula>"Muy Baja"</formula>
    </cfRule>
  </conditionalFormatting>
  <conditionalFormatting sqref="O13">
    <cfRule type="cellIs" dxfId="1534" priority="1552" operator="equal">
      <formula>"Catastrófico"</formula>
    </cfRule>
    <cfRule type="cellIs" dxfId="1533" priority="1553" operator="equal">
      <formula>"Mayor"</formula>
    </cfRule>
    <cfRule type="cellIs" dxfId="1532" priority="1554" operator="equal">
      <formula>"Moderado"</formula>
    </cfRule>
    <cfRule type="cellIs" dxfId="1531" priority="1555" operator="equal">
      <formula>"Menor"</formula>
    </cfRule>
    <cfRule type="cellIs" dxfId="1530" priority="1556" operator="equal">
      <formula>"Leve"</formula>
    </cfRule>
  </conditionalFormatting>
  <conditionalFormatting sqref="Q13">
    <cfRule type="cellIs" dxfId="1529" priority="1548" operator="equal">
      <formula>"Extremo"</formula>
    </cfRule>
    <cfRule type="cellIs" dxfId="1528" priority="1549" operator="equal">
      <formula>"Alto"</formula>
    </cfRule>
    <cfRule type="cellIs" dxfId="1527" priority="1550" operator="equal">
      <formula>"Moderado"</formula>
    </cfRule>
    <cfRule type="cellIs" dxfId="1526" priority="1551" operator="equal">
      <formula>"Bajo"</formula>
    </cfRule>
  </conditionalFormatting>
  <conditionalFormatting sqref="N13:N15">
    <cfRule type="containsText" dxfId="1525" priority="1547" operator="containsText" text="❌">
      <formula>NOT(ISERROR(SEARCH("❌",N13)))</formula>
    </cfRule>
  </conditionalFormatting>
  <conditionalFormatting sqref="K16">
    <cfRule type="cellIs" dxfId="1524" priority="1542" operator="equal">
      <formula>"Muy Alta"</formula>
    </cfRule>
    <cfRule type="cellIs" dxfId="1523" priority="1543" operator="equal">
      <formula>"Alta"</formula>
    </cfRule>
    <cfRule type="cellIs" dxfId="1522" priority="1544" operator="equal">
      <formula>"Media"</formula>
    </cfRule>
    <cfRule type="cellIs" dxfId="1521" priority="1545" operator="equal">
      <formula>"Baja"</formula>
    </cfRule>
    <cfRule type="cellIs" dxfId="1520" priority="1546" operator="equal">
      <formula>"Muy Baja"</formula>
    </cfRule>
  </conditionalFormatting>
  <conditionalFormatting sqref="O16">
    <cfRule type="cellIs" dxfId="1519" priority="1537" operator="equal">
      <formula>"Catastrófico"</formula>
    </cfRule>
    <cfRule type="cellIs" dxfId="1518" priority="1538" operator="equal">
      <formula>"Mayor"</formula>
    </cfRule>
    <cfRule type="cellIs" dxfId="1517" priority="1539" operator="equal">
      <formula>"Moderado"</formula>
    </cfRule>
    <cfRule type="cellIs" dxfId="1516" priority="1540" operator="equal">
      <formula>"Menor"</formula>
    </cfRule>
    <cfRule type="cellIs" dxfId="1515" priority="1541" operator="equal">
      <formula>"Leve"</formula>
    </cfRule>
  </conditionalFormatting>
  <conditionalFormatting sqref="Q16">
    <cfRule type="cellIs" dxfId="1514" priority="1533" operator="equal">
      <formula>"Extremo"</formula>
    </cfRule>
    <cfRule type="cellIs" dxfId="1513" priority="1534" operator="equal">
      <formula>"Alto"</formula>
    </cfRule>
    <cfRule type="cellIs" dxfId="1512" priority="1535" operator="equal">
      <formula>"Moderado"</formula>
    </cfRule>
    <cfRule type="cellIs" dxfId="1511" priority="1536" operator="equal">
      <formula>"Bajo"</formula>
    </cfRule>
  </conditionalFormatting>
  <conditionalFormatting sqref="N16:N18">
    <cfRule type="containsText" dxfId="1510" priority="1532" operator="containsText" text="❌">
      <formula>NOT(ISERROR(SEARCH("❌",N16)))</formula>
    </cfRule>
  </conditionalFormatting>
  <conditionalFormatting sqref="K19">
    <cfRule type="cellIs" dxfId="1509" priority="1527" operator="equal">
      <formula>"Muy Alta"</formula>
    </cfRule>
    <cfRule type="cellIs" dxfId="1508" priority="1528" operator="equal">
      <formula>"Alta"</formula>
    </cfRule>
    <cfRule type="cellIs" dxfId="1507" priority="1529" operator="equal">
      <formula>"Media"</formula>
    </cfRule>
    <cfRule type="cellIs" dxfId="1506" priority="1530" operator="equal">
      <formula>"Baja"</formula>
    </cfRule>
    <cfRule type="cellIs" dxfId="1505" priority="1531" operator="equal">
      <formula>"Muy Baja"</formula>
    </cfRule>
  </conditionalFormatting>
  <conditionalFormatting sqref="O19">
    <cfRule type="cellIs" dxfId="1504" priority="1522" operator="equal">
      <formula>"Catastrófico"</formula>
    </cfRule>
    <cfRule type="cellIs" dxfId="1503" priority="1523" operator="equal">
      <formula>"Mayor"</formula>
    </cfRule>
    <cfRule type="cellIs" dxfId="1502" priority="1524" operator="equal">
      <formula>"Moderado"</formula>
    </cfRule>
    <cfRule type="cellIs" dxfId="1501" priority="1525" operator="equal">
      <formula>"Menor"</formula>
    </cfRule>
    <cfRule type="cellIs" dxfId="1500" priority="1526" operator="equal">
      <formula>"Leve"</formula>
    </cfRule>
  </conditionalFormatting>
  <conditionalFormatting sqref="Q19">
    <cfRule type="cellIs" dxfId="1499" priority="1518" operator="equal">
      <formula>"Extremo"</formula>
    </cfRule>
    <cfRule type="cellIs" dxfId="1498" priority="1519" operator="equal">
      <formula>"Alto"</formula>
    </cfRule>
    <cfRule type="cellIs" dxfId="1497" priority="1520" operator="equal">
      <formula>"Moderado"</formula>
    </cfRule>
    <cfRule type="cellIs" dxfId="1496" priority="1521" operator="equal">
      <formula>"Bajo"</formula>
    </cfRule>
  </conditionalFormatting>
  <conditionalFormatting sqref="N19:N21">
    <cfRule type="containsText" dxfId="1495" priority="1517" operator="containsText" text="❌">
      <formula>NOT(ISERROR(SEARCH("❌",N19)))</formula>
    </cfRule>
  </conditionalFormatting>
  <conditionalFormatting sqref="K22">
    <cfRule type="cellIs" dxfId="1494" priority="1512" operator="equal">
      <formula>"Muy Alta"</formula>
    </cfRule>
    <cfRule type="cellIs" dxfId="1493" priority="1513" operator="equal">
      <formula>"Alta"</formula>
    </cfRule>
    <cfRule type="cellIs" dxfId="1492" priority="1514" operator="equal">
      <formula>"Media"</formula>
    </cfRule>
    <cfRule type="cellIs" dxfId="1491" priority="1515" operator="equal">
      <formula>"Baja"</formula>
    </cfRule>
    <cfRule type="cellIs" dxfId="1490" priority="1516" operator="equal">
      <formula>"Muy Baja"</formula>
    </cfRule>
  </conditionalFormatting>
  <conditionalFormatting sqref="O22">
    <cfRule type="cellIs" dxfId="1489" priority="1507" operator="equal">
      <formula>"Catastrófico"</formula>
    </cfRule>
    <cfRule type="cellIs" dxfId="1488" priority="1508" operator="equal">
      <formula>"Mayor"</formula>
    </cfRule>
    <cfRule type="cellIs" dxfId="1487" priority="1509" operator="equal">
      <formula>"Moderado"</formula>
    </cfRule>
    <cfRule type="cellIs" dxfId="1486" priority="1510" operator="equal">
      <formula>"Menor"</formula>
    </cfRule>
    <cfRule type="cellIs" dxfId="1485" priority="1511" operator="equal">
      <formula>"Leve"</formula>
    </cfRule>
  </conditionalFormatting>
  <conditionalFormatting sqref="Q22">
    <cfRule type="cellIs" dxfId="1484" priority="1503" operator="equal">
      <formula>"Extremo"</formula>
    </cfRule>
    <cfRule type="cellIs" dxfId="1483" priority="1504" operator="equal">
      <formula>"Alto"</formula>
    </cfRule>
    <cfRule type="cellIs" dxfId="1482" priority="1505" operator="equal">
      <formula>"Moderado"</formula>
    </cfRule>
    <cfRule type="cellIs" dxfId="1481" priority="1506" operator="equal">
      <formula>"Bajo"</formula>
    </cfRule>
  </conditionalFormatting>
  <conditionalFormatting sqref="N22:N24">
    <cfRule type="containsText" dxfId="1480" priority="1502" operator="containsText" text="❌">
      <formula>NOT(ISERROR(SEARCH("❌",N22)))</formula>
    </cfRule>
  </conditionalFormatting>
  <conditionalFormatting sqref="K25">
    <cfRule type="cellIs" dxfId="1479" priority="1497" operator="equal">
      <formula>"Muy Alta"</formula>
    </cfRule>
    <cfRule type="cellIs" dxfId="1478" priority="1498" operator="equal">
      <formula>"Alta"</formula>
    </cfRule>
    <cfRule type="cellIs" dxfId="1477" priority="1499" operator="equal">
      <formula>"Media"</formula>
    </cfRule>
    <cfRule type="cellIs" dxfId="1476" priority="1500" operator="equal">
      <formula>"Baja"</formula>
    </cfRule>
    <cfRule type="cellIs" dxfId="1475" priority="1501" operator="equal">
      <formula>"Muy Baja"</formula>
    </cfRule>
  </conditionalFormatting>
  <conditionalFormatting sqref="O25">
    <cfRule type="cellIs" dxfId="1474" priority="1492" operator="equal">
      <formula>"Catastrófico"</formula>
    </cfRule>
    <cfRule type="cellIs" dxfId="1473" priority="1493" operator="equal">
      <formula>"Mayor"</formula>
    </cfRule>
    <cfRule type="cellIs" dxfId="1472" priority="1494" operator="equal">
      <formula>"Moderado"</formula>
    </cfRule>
    <cfRule type="cellIs" dxfId="1471" priority="1495" operator="equal">
      <formula>"Menor"</formula>
    </cfRule>
    <cfRule type="cellIs" dxfId="1470" priority="1496" operator="equal">
      <formula>"Leve"</formula>
    </cfRule>
  </conditionalFormatting>
  <conditionalFormatting sqref="Q25">
    <cfRule type="cellIs" dxfId="1469" priority="1488" operator="equal">
      <formula>"Extremo"</formula>
    </cfRule>
    <cfRule type="cellIs" dxfId="1468" priority="1489" operator="equal">
      <formula>"Alto"</formula>
    </cfRule>
    <cfRule type="cellIs" dxfId="1467" priority="1490" operator="equal">
      <formula>"Moderado"</formula>
    </cfRule>
    <cfRule type="cellIs" dxfId="1466" priority="1491" operator="equal">
      <formula>"Bajo"</formula>
    </cfRule>
  </conditionalFormatting>
  <conditionalFormatting sqref="N25:N27">
    <cfRule type="containsText" dxfId="1465" priority="1487" operator="containsText" text="❌">
      <formula>NOT(ISERROR(SEARCH("❌",N25)))</formula>
    </cfRule>
  </conditionalFormatting>
  <conditionalFormatting sqref="K28">
    <cfRule type="cellIs" dxfId="1464" priority="1482" operator="equal">
      <formula>"Muy Alta"</formula>
    </cfRule>
    <cfRule type="cellIs" dxfId="1463" priority="1483" operator="equal">
      <formula>"Alta"</formula>
    </cfRule>
    <cfRule type="cellIs" dxfId="1462" priority="1484" operator="equal">
      <formula>"Media"</formula>
    </cfRule>
    <cfRule type="cellIs" dxfId="1461" priority="1485" operator="equal">
      <formula>"Baja"</formula>
    </cfRule>
    <cfRule type="cellIs" dxfId="1460" priority="1486" operator="equal">
      <formula>"Muy Baja"</formula>
    </cfRule>
  </conditionalFormatting>
  <conditionalFormatting sqref="O28">
    <cfRule type="cellIs" dxfId="1459" priority="1477" operator="equal">
      <formula>"Catastrófico"</formula>
    </cfRule>
    <cfRule type="cellIs" dxfId="1458" priority="1478" operator="equal">
      <formula>"Mayor"</formula>
    </cfRule>
    <cfRule type="cellIs" dxfId="1457" priority="1479" operator="equal">
      <formula>"Moderado"</formula>
    </cfRule>
    <cfRule type="cellIs" dxfId="1456" priority="1480" operator="equal">
      <formula>"Menor"</formula>
    </cfRule>
    <cfRule type="cellIs" dxfId="1455" priority="1481" operator="equal">
      <formula>"Leve"</formula>
    </cfRule>
  </conditionalFormatting>
  <conditionalFormatting sqref="Q28">
    <cfRule type="cellIs" dxfId="1454" priority="1473" operator="equal">
      <formula>"Extremo"</formula>
    </cfRule>
    <cfRule type="cellIs" dxfId="1453" priority="1474" operator="equal">
      <formula>"Alto"</formula>
    </cfRule>
    <cfRule type="cellIs" dxfId="1452" priority="1475" operator="equal">
      <formula>"Moderado"</formula>
    </cfRule>
    <cfRule type="cellIs" dxfId="1451" priority="1476" operator="equal">
      <formula>"Bajo"</formula>
    </cfRule>
  </conditionalFormatting>
  <conditionalFormatting sqref="N28:N30">
    <cfRule type="containsText" dxfId="1450" priority="1472" operator="containsText" text="❌">
      <formula>NOT(ISERROR(SEARCH("❌",N28)))</formula>
    </cfRule>
  </conditionalFormatting>
  <conditionalFormatting sqref="K31">
    <cfRule type="cellIs" dxfId="1449" priority="1467" operator="equal">
      <formula>"Muy Alta"</formula>
    </cfRule>
    <cfRule type="cellIs" dxfId="1448" priority="1468" operator="equal">
      <formula>"Alta"</formula>
    </cfRule>
    <cfRule type="cellIs" dxfId="1447" priority="1469" operator="equal">
      <formula>"Media"</formula>
    </cfRule>
    <cfRule type="cellIs" dxfId="1446" priority="1470" operator="equal">
      <formula>"Baja"</formula>
    </cfRule>
    <cfRule type="cellIs" dxfId="1445" priority="1471" operator="equal">
      <formula>"Muy Baja"</formula>
    </cfRule>
  </conditionalFormatting>
  <conditionalFormatting sqref="O31">
    <cfRule type="cellIs" dxfId="1444" priority="1462" operator="equal">
      <formula>"Catastrófico"</formula>
    </cfRule>
    <cfRule type="cellIs" dxfId="1443" priority="1463" operator="equal">
      <formula>"Mayor"</formula>
    </cfRule>
    <cfRule type="cellIs" dxfId="1442" priority="1464" operator="equal">
      <formula>"Moderado"</formula>
    </cfRule>
    <cfRule type="cellIs" dxfId="1441" priority="1465" operator="equal">
      <formula>"Menor"</formula>
    </cfRule>
    <cfRule type="cellIs" dxfId="1440" priority="1466" operator="equal">
      <formula>"Leve"</formula>
    </cfRule>
  </conditionalFormatting>
  <conditionalFormatting sqref="Q31">
    <cfRule type="cellIs" dxfId="1439" priority="1458" operator="equal">
      <formula>"Extremo"</formula>
    </cfRule>
    <cfRule type="cellIs" dxfId="1438" priority="1459" operator="equal">
      <formula>"Alto"</formula>
    </cfRule>
    <cfRule type="cellIs" dxfId="1437" priority="1460" operator="equal">
      <formula>"Moderado"</formula>
    </cfRule>
    <cfRule type="cellIs" dxfId="1436" priority="1461" operator="equal">
      <formula>"Bajo"</formula>
    </cfRule>
  </conditionalFormatting>
  <conditionalFormatting sqref="N31:N33">
    <cfRule type="containsText" dxfId="1435" priority="1457" operator="containsText" text="❌">
      <formula>NOT(ISERROR(SEARCH("❌",N31)))</formula>
    </cfRule>
  </conditionalFormatting>
  <conditionalFormatting sqref="K34">
    <cfRule type="cellIs" dxfId="1434" priority="1452" operator="equal">
      <formula>"Muy Alta"</formula>
    </cfRule>
    <cfRule type="cellIs" dxfId="1433" priority="1453" operator="equal">
      <formula>"Alta"</formula>
    </cfRule>
    <cfRule type="cellIs" dxfId="1432" priority="1454" operator="equal">
      <formula>"Media"</formula>
    </cfRule>
    <cfRule type="cellIs" dxfId="1431" priority="1455" operator="equal">
      <formula>"Baja"</formula>
    </cfRule>
    <cfRule type="cellIs" dxfId="1430" priority="1456" operator="equal">
      <formula>"Muy Baja"</formula>
    </cfRule>
  </conditionalFormatting>
  <conditionalFormatting sqref="O34">
    <cfRule type="cellIs" dxfId="1429" priority="1447" operator="equal">
      <formula>"Catastrófico"</formula>
    </cfRule>
    <cfRule type="cellIs" dxfId="1428" priority="1448" operator="equal">
      <formula>"Mayor"</formula>
    </cfRule>
    <cfRule type="cellIs" dxfId="1427" priority="1449" operator="equal">
      <formula>"Moderado"</formula>
    </cfRule>
    <cfRule type="cellIs" dxfId="1426" priority="1450" operator="equal">
      <formula>"Menor"</formula>
    </cfRule>
    <cfRule type="cellIs" dxfId="1425" priority="1451" operator="equal">
      <formula>"Leve"</formula>
    </cfRule>
  </conditionalFormatting>
  <conditionalFormatting sqref="Q34">
    <cfRule type="cellIs" dxfId="1424" priority="1443" operator="equal">
      <formula>"Extremo"</formula>
    </cfRule>
    <cfRule type="cellIs" dxfId="1423" priority="1444" operator="equal">
      <formula>"Alto"</formula>
    </cfRule>
    <cfRule type="cellIs" dxfId="1422" priority="1445" operator="equal">
      <formula>"Moderado"</formula>
    </cfRule>
    <cfRule type="cellIs" dxfId="1421" priority="1446" operator="equal">
      <formula>"Bajo"</formula>
    </cfRule>
  </conditionalFormatting>
  <conditionalFormatting sqref="N34:N36">
    <cfRule type="containsText" dxfId="1420" priority="1442" operator="containsText" text="❌">
      <formula>NOT(ISERROR(SEARCH("❌",N34)))</formula>
    </cfRule>
  </conditionalFormatting>
  <conditionalFormatting sqref="K37">
    <cfRule type="cellIs" dxfId="1419" priority="1437" operator="equal">
      <formula>"Muy Alta"</formula>
    </cfRule>
    <cfRule type="cellIs" dxfId="1418" priority="1438" operator="equal">
      <formula>"Alta"</formula>
    </cfRule>
    <cfRule type="cellIs" dxfId="1417" priority="1439" operator="equal">
      <formula>"Media"</formula>
    </cfRule>
    <cfRule type="cellIs" dxfId="1416" priority="1440" operator="equal">
      <formula>"Baja"</formula>
    </cfRule>
    <cfRule type="cellIs" dxfId="1415" priority="1441" operator="equal">
      <formula>"Muy Baja"</formula>
    </cfRule>
  </conditionalFormatting>
  <conditionalFormatting sqref="O37">
    <cfRule type="cellIs" dxfId="1414" priority="1432" operator="equal">
      <formula>"Catastrófico"</formula>
    </cfRule>
    <cfRule type="cellIs" dxfId="1413" priority="1433" operator="equal">
      <formula>"Mayor"</formula>
    </cfRule>
    <cfRule type="cellIs" dxfId="1412" priority="1434" operator="equal">
      <formula>"Moderado"</formula>
    </cfRule>
    <cfRule type="cellIs" dxfId="1411" priority="1435" operator="equal">
      <formula>"Menor"</formula>
    </cfRule>
    <cfRule type="cellIs" dxfId="1410" priority="1436" operator="equal">
      <formula>"Leve"</formula>
    </cfRule>
  </conditionalFormatting>
  <conditionalFormatting sqref="Q37">
    <cfRule type="cellIs" dxfId="1409" priority="1428" operator="equal">
      <formula>"Extremo"</formula>
    </cfRule>
    <cfRule type="cellIs" dxfId="1408" priority="1429" operator="equal">
      <formula>"Alto"</formula>
    </cfRule>
    <cfRule type="cellIs" dxfId="1407" priority="1430" operator="equal">
      <formula>"Moderado"</formula>
    </cfRule>
    <cfRule type="cellIs" dxfId="1406" priority="1431" operator="equal">
      <formula>"Bajo"</formula>
    </cfRule>
  </conditionalFormatting>
  <conditionalFormatting sqref="N37:N39">
    <cfRule type="containsText" dxfId="1405" priority="1427" operator="containsText" text="❌">
      <formula>NOT(ISERROR(SEARCH("❌",N37)))</formula>
    </cfRule>
  </conditionalFormatting>
  <conditionalFormatting sqref="K40">
    <cfRule type="cellIs" dxfId="1404" priority="1422" operator="equal">
      <formula>"Muy Alta"</formula>
    </cfRule>
    <cfRule type="cellIs" dxfId="1403" priority="1423" operator="equal">
      <formula>"Alta"</formula>
    </cfRule>
    <cfRule type="cellIs" dxfId="1402" priority="1424" operator="equal">
      <formula>"Media"</formula>
    </cfRule>
    <cfRule type="cellIs" dxfId="1401" priority="1425" operator="equal">
      <formula>"Baja"</formula>
    </cfRule>
    <cfRule type="cellIs" dxfId="1400" priority="1426" operator="equal">
      <formula>"Muy Baja"</formula>
    </cfRule>
  </conditionalFormatting>
  <conditionalFormatting sqref="O40">
    <cfRule type="cellIs" dxfId="1399" priority="1417" operator="equal">
      <formula>"Catastrófico"</formula>
    </cfRule>
    <cfRule type="cellIs" dxfId="1398" priority="1418" operator="equal">
      <formula>"Mayor"</formula>
    </cfRule>
    <cfRule type="cellIs" dxfId="1397" priority="1419" operator="equal">
      <formula>"Moderado"</formula>
    </cfRule>
    <cfRule type="cellIs" dxfId="1396" priority="1420" operator="equal">
      <formula>"Menor"</formula>
    </cfRule>
    <cfRule type="cellIs" dxfId="1395" priority="1421" operator="equal">
      <formula>"Leve"</formula>
    </cfRule>
  </conditionalFormatting>
  <conditionalFormatting sqref="Q40">
    <cfRule type="cellIs" dxfId="1394" priority="1413" operator="equal">
      <formula>"Extremo"</formula>
    </cfRule>
    <cfRule type="cellIs" dxfId="1393" priority="1414" operator="equal">
      <formula>"Alto"</formula>
    </cfRule>
    <cfRule type="cellIs" dxfId="1392" priority="1415" operator="equal">
      <formula>"Moderado"</formula>
    </cfRule>
    <cfRule type="cellIs" dxfId="1391" priority="1416" operator="equal">
      <formula>"Bajo"</formula>
    </cfRule>
  </conditionalFormatting>
  <conditionalFormatting sqref="N40:N42">
    <cfRule type="containsText" dxfId="1390" priority="1412" operator="containsText" text="❌">
      <formula>NOT(ISERROR(SEARCH("❌",N40)))</formula>
    </cfRule>
  </conditionalFormatting>
  <conditionalFormatting sqref="K43">
    <cfRule type="cellIs" dxfId="1389" priority="1407" operator="equal">
      <formula>"Muy Alta"</formula>
    </cfRule>
    <cfRule type="cellIs" dxfId="1388" priority="1408" operator="equal">
      <formula>"Alta"</formula>
    </cfRule>
    <cfRule type="cellIs" dxfId="1387" priority="1409" operator="equal">
      <formula>"Media"</formula>
    </cfRule>
    <cfRule type="cellIs" dxfId="1386" priority="1410" operator="equal">
      <formula>"Baja"</formula>
    </cfRule>
    <cfRule type="cellIs" dxfId="1385" priority="1411" operator="equal">
      <formula>"Muy Baja"</formula>
    </cfRule>
  </conditionalFormatting>
  <conditionalFormatting sqref="O43">
    <cfRule type="cellIs" dxfId="1384" priority="1402" operator="equal">
      <formula>"Catastrófico"</formula>
    </cfRule>
    <cfRule type="cellIs" dxfId="1383" priority="1403" operator="equal">
      <formula>"Mayor"</formula>
    </cfRule>
    <cfRule type="cellIs" dxfId="1382" priority="1404" operator="equal">
      <formula>"Moderado"</formula>
    </cfRule>
    <cfRule type="cellIs" dxfId="1381" priority="1405" operator="equal">
      <formula>"Menor"</formula>
    </cfRule>
    <cfRule type="cellIs" dxfId="1380" priority="1406" operator="equal">
      <formula>"Leve"</formula>
    </cfRule>
  </conditionalFormatting>
  <conditionalFormatting sqref="Q43">
    <cfRule type="cellIs" dxfId="1379" priority="1398" operator="equal">
      <formula>"Extremo"</formula>
    </cfRule>
    <cfRule type="cellIs" dxfId="1378" priority="1399" operator="equal">
      <formula>"Alto"</formula>
    </cfRule>
    <cfRule type="cellIs" dxfId="1377" priority="1400" operator="equal">
      <formula>"Moderado"</formula>
    </cfRule>
    <cfRule type="cellIs" dxfId="1376" priority="1401" operator="equal">
      <formula>"Bajo"</formula>
    </cfRule>
  </conditionalFormatting>
  <conditionalFormatting sqref="N43:N45">
    <cfRule type="containsText" dxfId="1375" priority="1397" operator="containsText" text="❌">
      <formula>NOT(ISERROR(SEARCH("❌",N43)))</formula>
    </cfRule>
  </conditionalFormatting>
  <conditionalFormatting sqref="K46">
    <cfRule type="cellIs" dxfId="1374" priority="1377" operator="equal">
      <formula>"Muy Alta"</formula>
    </cfRule>
    <cfRule type="cellIs" dxfId="1373" priority="1378" operator="equal">
      <formula>"Alta"</formula>
    </cfRule>
    <cfRule type="cellIs" dxfId="1372" priority="1379" operator="equal">
      <formula>"Media"</formula>
    </cfRule>
    <cfRule type="cellIs" dxfId="1371" priority="1380" operator="equal">
      <formula>"Baja"</formula>
    </cfRule>
    <cfRule type="cellIs" dxfId="1370" priority="1381" operator="equal">
      <formula>"Muy Baja"</formula>
    </cfRule>
  </conditionalFormatting>
  <conditionalFormatting sqref="O46">
    <cfRule type="cellIs" dxfId="1369" priority="1372" operator="equal">
      <formula>"Catastrófico"</formula>
    </cfRule>
    <cfRule type="cellIs" dxfId="1368" priority="1373" operator="equal">
      <formula>"Mayor"</formula>
    </cfRule>
    <cfRule type="cellIs" dxfId="1367" priority="1374" operator="equal">
      <formula>"Moderado"</formula>
    </cfRule>
    <cfRule type="cellIs" dxfId="1366" priority="1375" operator="equal">
      <formula>"Menor"</formula>
    </cfRule>
    <cfRule type="cellIs" dxfId="1365" priority="1376" operator="equal">
      <formula>"Leve"</formula>
    </cfRule>
  </conditionalFormatting>
  <conditionalFormatting sqref="Q46">
    <cfRule type="cellIs" dxfId="1364" priority="1368" operator="equal">
      <formula>"Extremo"</formula>
    </cfRule>
    <cfRule type="cellIs" dxfId="1363" priority="1369" operator="equal">
      <formula>"Alto"</formula>
    </cfRule>
    <cfRule type="cellIs" dxfId="1362" priority="1370" operator="equal">
      <formula>"Moderado"</formula>
    </cfRule>
    <cfRule type="cellIs" dxfId="1361" priority="1371" operator="equal">
      <formula>"Bajo"</formula>
    </cfRule>
  </conditionalFormatting>
  <conditionalFormatting sqref="N46:N48">
    <cfRule type="containsText" dxfId="1360" priority="1367" operator="containsText" text="❌">
      <formula>NOT(ISERROR(SEARCH("❌",N46)))</formula>
    </cfRule>
  </conditionalFormatting>
  <conditionalFormatting sqref="K49">
    <cfRule type="cellIs" dxfId="1359" priority="1362" operator="equal">
      <formula>"Muy Alta"</formula>
    </cfRule>
    <cfRule type="cellIs" dxfId="1358" priority="1363" operator="equal">
      <formula>"Alta"</formula>
    </cfRule>
    <cfRule type="cellIs" dxfId="1357" priority="1364" operator="equal">
      <formula>"Media"</formula>
    </cfRule>
    <cfRule type="cellIs" dxfId="1356" priority="1365" operator="equal">
      <formula>"Baja"</formula>
    </cfRule>
    <cfRule type="cellIs" dxfId="1355" priority="1366" operator="equal">
      <formula>"Muy Baja"</formula>
    </cfRule>
  </conditionalFormatting>
  <conditionalFormatting sqref="O49">
    <cfRule type="cellIs" dxfId="1354" priority="1357" operator="equal">
      <formula>"Catastrófico"</formula>
    </cfRule>
    <cfRule type="cellIs" dxfId="1353" priority="1358" operator="equal">
      <formula>"Mayor"</formula>
    </cfRule>
    <cfRule type="cellIs" dxfId="1352" priority="1359" operator="equal">
      <formula>"Moderado"</formula>
    </cfRule>
    <cfRule type="cellIs" dxfId="1351" priority="1360" operator="equal">
      <formula>"Menor"</formula>
    </cfRule>
    <cfRule type="cellIs" dxfId="1350" priority="1361" operator="equal">
      <formula>"Leve"</formula>
    </cfRule>
  </conditionalFormatting>
  <conditionalFormatting sqref="Q49">
    <cfRule type="cellIs" dxfId="1349" priority="1353" operator="equal">
      <formula>"Extremo"</formula>
    </cfRule>
    <cfRule type="cellIs" dxfId="1348" priority="1354" operator="equal">
      <formula>"Alto"</formula>
    </cfRule>
    <cfRule type="cellIs" dxfId="1347" priority="1355" operator="equal">
      <formula>"Moderado"</formula>
    </cfRule>
    <cfRule type="cellIs" dxfId="1346" priority="1356" operator="equal">
      <formula>"Bajo"</formula>
    </cfRule>
  </conditionalFormatting>
  <conditionalFormatting sqref="N49:N51">
    <cfRule type="containsText" dxfId="1345" priority="1352" operator="containsText" text="❌">
      <formula>NOT(ISERROR(SEARCH("❌",N49)))</formula>
    </cfRule>
  </conditionalFormatting>
  <conditionalFormatting sqref="K52">
    <cfRule type="cellIs" dxfId="1344" priority="1347" operator="equal">
      <formula>"Muy Alta"</formula>
    </cfRule>
    <cfRule type="cellIs" dxfId="1343" priority="1348" operator="equal">
      <formula>"Alta"</formula>
    </cfRule>
    <cfRule type="cellIs" dxfId="1342" priority="1349" operator="equal">
      <formula>"Media"</formula>
    </cfRule>
    <cfRule type="cellIs" dxfId="1341" priority="1350" operator="equal">
      <formula>"Baja"</formula>
    </cfRule>
    <cfRule type="cellIs" dxfId="1340" priority="1351" operator="equal">
      <formula>"Muy Baja"</formula>
    </cfRule>
  </conditionalFormatting>
  <conditionalFormatting sqref="O52">
    <cfRule type="cellIs" dxfId="1339" priority="1342" operator="equal">
      <formula>"Catastrófico"</formula>
    </cfRule>
    <cfRule type="cellIs" dxfId="1338" priority="1343" operator="equal">
      <formula>"Mayor"</formula>
    </cfRule>
    <cfRule type="cellIs" dxfId="1337" priority="1344" operator="equal">
      <formula>"Moderado"</formula>
    </cfRule>
    <cfRule type="cellIs" dxfId="1336" priority="1345" operator="equal">
      <formula>"Menor"</formula>
    </cfRule>
    <cfRule type="cellIs" dxfId="1335" priority="1346" operator="equal">
      <formula>"Leve"</formula>
    </cfRule>
  </conditionalFormatting>
  <conditionalFormatting sqref="Q52">
    <cfRule type="cellIs" dxfId="1334" priority="1338" operator="equal">
      <formula>"Extremo"</formula>
    </cfRule>
    <cfRule type="cellIs" dxfId="1333" priority="1339" operator="equal">
      <formula>"Alto"</formula>
    </cfRule>
    <cfRule type="cellIs" dxfId="1332" priority="1340" operator="equal">
      <formula>"Moderado"</formula>
    </cfRule>
    <cfRule type="cellIs" dxfId="1331" priority="1341" operator="equal">
      <formula>"Bajo"</formula>
    </cfRule>
  </conditionalFormatting>
  <conditionalFormatting sqref="N52:N54">
    <cfRule type="containsText" dxfId="1330" priority="1337" operator="containsText" text="❌">
      <formula>NOT(ISERROR(SEARCH("❌",N52)))</formula>
    </cfRule>
  </conditionalFormatting>
  <conditionalFormatting sqref="K55">
    <cfRule type="cellIs" dxfId="1329" priority="1332" operator="equal">
      <formula>"Muy Alta"</formula>
    </cfRule>
    <cfRule type="cellIs" dxfId="1328" priority="1333" operator="equal">
      <formula>"Alta"</formula>
    </cfRule>
    <cfRule type="cellIs" dxfId="1327" priority="1334" operator="equal">
      <formula>"Media"</formula>
    </cfRule>
    <cfRule type="cellIs" dxfId="1326" priority="1335" operator="equal">
      <formula>"Baja"</formula>
    </cfRule>
    <cfRule type="cellIs" dxfId="1325" priority="1336" operator="equal">
      <formula>"Muy Baja"</formula>
    </cfRule>
  </conditionalFormatting>
  <conditionalFormatting sqref="O55">
    <cfRule type="cellIs" dxfId="1324" priority="1327" operator="equal">
      <formula>"Catastrófico"</formula>
    </cfRule>
    <cfRule type="cellIs" dxfId="1323" priority="1328" operator="equal">
      <formula>"Mayor"</formula>
    </cfRule>
    <cfRule type="cellIs" dxfId="1322" priority="1329" operator="equal">
      <formula>"Moderado"</formula>
    </cfRule>
    <cfRule type="cellIs" dxfId="1321" priority="1330" operator="equal">
      <formula>"Menor"</formula>
    </cfRule>
    <cfRule type="cellIs" dxfId="1320" priority="1331" operator="equal">
      <formula>"Leve"</formula>
    </cfRule>
  </conditionalFormatting>
  <conditionalFormatting sqref="Q55">
    <cfRule type="cellIs" dxfId="1319" priority="1323" operator="equal">
      <formula>"Extremo"</formula>
    </cfRule>
    <cfRule type="cellIs" dxfId="1318" priority="1324" operator="equal">
      <formula>"Alto"</formula>
    </cfRule>
    <cfRule type="cellIs" dxfId="1317" priority="1325" operator="equal">
      <formula>"Moderado"</formula>
    </cfRule>
    <cfRule type="cellIs" dxfId="1316" priority="1326" operator="equal">
      <formula>"Bajo"</formula>
    </cfRule>
  </conditionalFormatting>
  <conditionalFormatting sqref="N55:N57">
    <cfRule type="containsText" dxfId="1315" priority="1322" operator="containsText" text="❌">
      <formula>NOT(ISERROR(SEARCH("❌",N55)))</formula>
    </cfRule>
  </conditionalFormatting>
  <conditionalFormatting sqref="K58">
    <cfRule type="cellIs" dxfId="1314" priority="1317" operator="equal">
      <formula>"Muy Alta"</formula>
    </cfRule>
    <cfRule type="cellIs" dxfId="1313" priority="1318" operator="equal">
      <formula>"Alta"</formula>
    </cfRule>
    <cfRule type="cellIs" dxfId="1312" priority="1319" operator="equal">
      <formula>"Media"</formula>
    </cfRule>
    <cfRule type="cellIs" dxfId="1311" priority="1320" operator="equal">
      <formula>"Baja"</formula>
    </cfRule>
    <cfRule type="cellIs" dxfId="1310" priority="1321" operator="equal">
      <formula>"Muy Baja"</formula>
    </cfRule>
  </conditionalFormatting>
  <conditionalFormatting sqref="O58">
    <cfRule type="cellIs" dxfId="1309" priority="1312" operator="equal">
      <formula>"Catastrófico"</formula>
    </cfRule>
    <cfRule type="cellIs" dxfId="1308" priority="1313" operator="equal">
      <formula>"Mayor"</formula>
    </cfRule>
    <cfRule type="cellIs" dxfId="1307" priority="1314" operator="equal">
      <formula>"Moderado"</formula>
    </cfRule>
    <cfRule type="cellIs" dxfId="1306" priority="1315" operator="equal">
      <formula>"Menor"</formula>
    </cfRule>
    <cfRule type="cellIs" dxfId="1305" priority="1316" operator="equal">
      <formula>"Leve"</formula>
    </cfRule>
  </conditionalFormatting>
  <conditionalFormatting sqref="Q58">
    <cfRule type="cellIs" dxfId="1304" priority="1308" operator="equal">
      <formula>"Extremo"</formula>
    </cfRule>
    <cfRule type="cellIs" dxfId="1303" priority="1309" operator="equal">
      <formula>"Alto"</formula>
    </cfRule>
    <cfRule type="cellIs" dxfId="1302" priority="1310" operator="equal">
      <formula>"Moderado"</formula>
    </cfRule>
    <cfRule type="cellIs" dxfId="1301" priority="1311" operator="equal">
      <formula>"Bajo"</formula>
    </cfRule>
  </conditionalFormatting>
  <conditionalFormatting sqref="N58:N60">
    <cfRule type="containsText" dxfId="1300" priority="1307" operator="containsText" text="❌">
      <formula>NOT(ISERROR(SEARCH("❌",N58)))</formula>
    </cfRule>
  </conditionalFormatting>
  <conditionalFormatting sqref="K61">
    <cfRule type="cellIs" dxfId="1299" priority="1302" operator="equal">
      <formula>"Muy Alta"</formula>
    </cfRule>
    <cfRule type="cellIs" dxfId="1298" priority="1303" operator="equal">
      <formula>"Alta"</formula>
    </cfRule>
    <cfRule type="cellIs" dxfId="1297" priority="1304" operator="equal">
      <formula>"Media"</formula>
    </cfRule>
    <cfRule type="cellIs" dxfId="1296" priority="1305" operator="equal">
      <formula>"Baja"</formula>
    </cfRule>
    <cfRule type="cellIs" dxfId="1295" priority="1306" operator="equal">
      <formula>"Muy Baja"</formula>
    </cfRule>
  </conditionalFormatting>
  <conditionalFormatting sqref="O61">
    <cfRule type="cellIs" dxfId="1294" priority="1297" operator="equal">
      <formula>"Catastrófico"</formula>
    </cfRule>
    <cfRule type="cellIs" dxfId="1293" priority="1298" operator="equal">
      <formula>"Mayor"</formula>
    </cfRule>
    <cfRule type="cellIs" dxfId="1292" priority="1299" operator="equal">
      <formula>"Moderado"</formula>
    </cfRule>
    <cfRule type="cellIs" dxfId="1291" priority="1300" operator="equal">
      <formula>"Menor"</formula>
    </cfRule>
    <cfRule type="cellIs" dxfId="1290" priority="1301" operator="equal">
      <formula>"Leve"</formula>
    </cfRule>
  </conditionalFormatting>
  <conditionalFormatting sqref="Q61">
    <cfRule type="cellIs" dxfId="1289" priority="1293" operator="equal">
      <formula>"Extremo"</formula>
    </cfRule>
    <cfRule type="cellIs" dxfId="1288" priority="1294" operator="equal">
      <formula>"Alto"</formula>
    </cfRule>
    <cfRule type="cellIs" dxfId="1287" priority="1295" operator="equal">
      <formula>"Moderado"</formula>
    </cfRule>
    <cfRule type="cellIs" dxfId="1286" priority="1296" operator="equal">
      <formula>"Bajo"</formula>
    </cfRule>
  </conditionalFormatting>
  <conditionalFormatting sqref="N61:N63">
    <cfRule type="containsText" dxfId="1285" priority="1292" operator="containsText" text="❌">
      <formula>NOT(ISERROR(SEARCH("❌",N61)))</formula>
    </cfRule>
  </conditionalFormatting>
  <conditionalFormatting sqref="K64">
    <cfRule type="cellIs" dxfId="1284" priority="1287" operator="equal">
      <formula>"Muy Alta"</formula>
    </cfRule>
    <cfRule type="cellIs" dxfId="1283" priority="1288" operator="equal">
      <formula>"Alta"</formula>
    </cfRule>
    <cfRule type="cellIs" dxfId="1282" priority="1289" operator="equal">
      <formula>"Media"</formula>
    </cfRule>
    <cfRule type="cellIs" dxfId="1281" priority="1290" operator="equal">
      <formula>"Baja"</formula>
    </cfRule>
    <cfRule type="cellIs" dxfId="1280" priority="1291" operator="equal">
      <formula>"Muy Baja"</formula>
    </cfRule>
  </conditionalFormatting>
  <conditionalFormatting sqref="O64">
    <cfRule type="cellIs" dxfId="1279" priority="1282" operator="equal">
      <formula>"Catastrófico"</formula>
    </cfRule>
    <cfRule type="cellIs" dxfId="1278" priority="1283" operator="equal">
      <formula>"Mayor"</formula>
    </cfRule>
    <cfRule type="cellIs" dxfId="1277" priority="1284" operator="equal">
      <formula>"Moderado"</formula>
    </cfRule>
    <cfRule type="cellIs" dxfId="1276" priority="1285" operator="equal">
      <formula>"Menor"</formula>
    </cfRule>
    <cfRule type="cellIs" dxfId="1275" priority="1286" operator="equal">
      <formula>"Leve"</formula>
    </cfRule>
  </conditionalFormatting>
  <conditionalFormatting sqref="Q64">
    <cfRule type="cellIs" dxfId="1274" priority="1278" operator="equal">
      <formula>"Extremo"</formula>
    </cfRule>
    <cfRule type="cellIs" dxfId="1273" priority="1279" operator="equal">
      <formula>"Alto"</formula>
    </cfRule>
    <cfRule type="cellIs" dxfId="1272" priority="1280" operator="equal">
      <formula>"Moderado"</formula>
    </cfRule>
    <cfRule type="cellIs" dxfId="1271" priority="1281" operator="equal">
      <formula>"Bajo"</formula>
    </cfRule>
  </conditionalFormatting>
  <conditionalFormatting sqref="N64:N66">
    <cfRule type="containsText" dxfId="1270" priority="1277" operator="containsText" text="❌">
      <formula>NOT(ISERROR(SEARCH("❌",N64)))</formula>
    </cfRule>
  </conditionalFormatting>
  <conditionalFormatting sqref="K67">
    <cfRule type="cellIs" dxfId="1269" priority="1272" operator="equal">
      <formula>"Muy Alta"</formula>
    </cfRule>
    <cfRule type="cellIs" dxfId="1268" priority="1273" operator="equal">
      <formula>"Alta"</formula>
    </cfRule>
    <cfRule type="cellIs" dxfId="1267" priority="1274" operator="equal">
      <formula>"Media"</formula>
    </cfRule>
    <cfRule type="cellIs" dxfId="1266" priority="1275" operator="equal">
      <formula>"Baja"</formula>
    </cfRule>
    <cfRule type="cellIs" dxfId="1265" priority="1276" operator="equal">
      <formula>"Muy Baja"</formula>
    </cfRule>
  </conditionalFormatting>
  <conditionalFormatting sqref="O67">
    <cfRule type="cellIs" dxfId="1264" priority="1267" operator="equal">
      <formula>"Catastrófico"</formula>
    </cfRule>
    <cfRule type="cellIs" dxfId="1263" priority="1268" operator="equal">
      <formula>"Mayor"</formula>
    </cfRule>
    <cfRule type="cellIs" dxfId="1262" priority="1269" operator="equal">
      <formula>"Moderado"</formula>
    </cfRule>
    <cfRule type="cellIs" dxfId="1261" priority="1270" operator="equal">
      <formula>"Menor"</formula>
    </cfRule>
    <cfRule type="cellIs" dxfId="1260" priority="1271" operator="equal">
      <formula>"Leve"</formula>
    </cfRule>
  </conditionalFormatting>
  <conditionalFormatting sqref="Q67">
    <cfRule type="cellIs" dxfId="1259" priority="1263" operator="equal">
      <formula>"Extremo"</formula>
    </cfRule>
    <cfRule type="cellIs" dxfId="1258" priority="1264" operator="equal">
      <formula>"Alto"</formula>
    </cfRule>
    <cfRule type="cellIs" dxfId="1257" priority="1265" operator="equal">
      <formula>"Moderado"</formula>
    </cfRule>
    <cfRule type="cellIs" dxfId="1256" priority="1266" operator="equal">
      <formula>"Bajo"</formula>
    </cfRule>
  </conditionalFormatting>
  <conditionalFormatting sqref="N67:N69">
    <cfRule type="containsText" dxfId="1255" priority="1262" operator="containsText" text="❌">
      <formula>NOT(ISERROR(SEARCH("❌",N67)))</formula>
    </cfRule>
  </conditionalFormatting>
  <conditionalFormatting sqref="K70">
    <cfRule type="cellIs" dxfId="1254" priority="1257" operator="equal">
      <formula>"Muy Alta"</formula>
    </cfRule>
    <cfRule type="cellIs" dxfId="1253" priority="1258" operator="equal">
      <formula>"Alta"</formula>
    </cfRule>
    <cfRule type="cellIs" dxfId="1252" priority="1259" operator="equal">
      <formula>"Media"</formula>
    </cfRule>
    <cfRule type="cellIs" dxfId="1251" priority="1260" operator="equal">
      <formula>"Baja"</formula>
    </cfRule>
    <cfRule type="cellIs" dxfId="1250" priority="1261" operator="equal">
      <formula>"Muy Baja"</formula>
    </cfRule>
  </conditionalFormatting>
  <conditionalFormatting sqref="O70">
    <cfRule type="cellIs" dxfId="1249" priority="1252" operator="equal">
      <formula>"Catastrófico"</formula>
    </cfRule>
    <cfRule type="cellIs" dxfId="1248" priority="1253" operator="equal">
      <formula>"Mayor"</formula>
    </cfRule>
    <cfRule type="cellIs" dxfId="1247" priority="1254" operator="equal">
      <formula>"Moderado"</formula>
    </cfRule>
    <cfRule type="cellIs" dxfId="1246" priority="1255" operator="equal">
      <formula>"Menor"</formula>
    </cfRule>
    <cfRule type="cellIs" dxfId="1245" priority="1256" operator="equal">
      <formula>"Leve"</formula>
    </cfRule>
  </conditionalFormatting>
  <conditionalFormatting sqref="Q70">
    <cfRule type="cellIs" dxfId="1244" priority="1248" operator="equal">
      <formula>"Extremo"</formula>
    </cfRule>
    <cfRule type="cellIs" dxfId="1243" priority="1249" operator="equal">
      <formula>"Alto"</formula>
    </cfRule>
    <cfRule type="cellIs" dxfId="1242" priority="1250" operator="equal">
      <formula>"Moderado"</formula>
    </cfRule>
    <cfRule type="cellIs" dxfId="1241" priority="1251" operator="equal">
      <formula>"Bajo"</formula>
    </cfRule>
  </conditionalFormatting>
  <conditionalFormatting sqref="N70:N72">
    <cfRule type="containsText" dxfId="1240" priority="1247" operator="containsText" text="❌">
      <formula>NOT(ISERROR(SEARCH("❌",N70)))</formula>
    </cfRule>
  </conditionalFormatting>
  <conditionalFormatting sqref="K73">
    <cfRule type="cellIs" dxfId="1239" priority="1242" operator="equal">
      <formula>"Muy Alta"</formula>
    </cfRule>
    <cfRule type="cellIs" dxfId="1238" priority="1243" operator="equal">
      <formula>"Alta"</formula>
    </cfRule>
    <cfRule type="cellIs" dxfId="1237" priority="1244" operator="equal">
      <formula>"Media"</formula>
    </cfRule>
    <cfRule type="cellIs" dxfId="1236" priority="1245" operator="equal">
      <formula>"Baja"</formula>
    </cfRule>
    <cfRule type="cellIs" dxfId="1235" priority="1246" operator="equal">
      <formula>"Muy Baja"</formula>
    </cfRule>
  </conditionalFormatting>
  <conditionalFormatting sqref="O73">
    <cfRule type="cellIs" dxfId="1234" priority="1237" operator="equal">
      <formula>"Catastrófico"</formula>
    </cfRule>
    <cfRule type="cellIs" dxfId="1233" priority="1238" operator="equal">
      <formula>"Mayor"</formula>
    </cfRule>
    <cfRule type="cellIs" dxfId="1232" priority="1239" operator="equal">
      <formula>"Moderado"</formula>
    </cfRule>
    <cfRule type="cellIs" dxfId="1231" priority="1240" operator="equal">
      <formula>"Menor"</formula>
    </cfRule>
    <cfRule type="cellIs" dxfId="1230" priority="1241" operator="equal">
      <formula>"Leve"</formula>
    </cfRule>
  </conditionalFormatting>
  <conditionalFormatting sqref="Q73">
    <cfRule type="cellIs" dxfId="1229" priority="1233" operator="equal">
      <formula>"Extremo"</formula>
    </cfRule>
    <cfRule type="cellIs" dxfId="1228" priority="1234" operator="equal">
      <formula>"Alto"</formula>
    </cfRule>
    <cfRule type="cellIs" dxfId="1227" priority="1235" operator="equal">
      <formula>"Moderado"</formula>
    </cfRule>
    <cfRule type="cellIs" dxfId="1226" priority="1236" operator="equal">
      <formula>"Bajo"</formula>
    </cfRule>
  </conditionalFormatting>
  <conditionalFormatting sqref="N73:N75">
    <cfRule type="containsText" dxfId="1225" priority="1232" operator="containsText" text="❌">
      <formula>NOT(ISERROR(SEARCH("❌",N73)))</formula>
    </cfRule>
  </conditionalFormatting>
  <conditionalFormatting sqref="K76">
    <cfRule type="cellIs" dxfId="1224" priority="1227" operator="equal">
      <formula>"Muy Alta"</formula>
    </cfRule>
    <cfRule type="cellIs" dxfId="1223" priority="1228" operator="equal">
      <formula>"Alta"</formula>
    </cfRule>
    <cfRule type="cellIs" dxfId="1222" priority="1229" operator="equal">
      <formula>"Media"</formula>
    </cfRule>
    <cfRule type="cellIs" dxfId="1221" priority="1230" operator="equal">
      <formula>"Baja"</formula>
    </cfRule>
    <cfRule type="cellIs" dxfId="1220" priority="1231" operator="equal">
      <formula>"Muy Baja"</formula>
    </cfRule>
  </conditionalFormatting>
  <conditionalFormatting sqref="O76">
    <cfRule type="cellIs" dxfId="1219" priority="1222" operator="equal">
      <formula>"Catastrófico"</formula>
    </cfRule>
    <cfRule type="cellIs" dxfId="1218" priority="1223" operator="equal">
      <formula>"Mayor"</formula>
    </cfRule>
    <cfRule type="cellIs" dxfId="1217" priority="1224" operator="equal">
      <formula>"Moderado"</formula>
    </cfRule>
    <cfRule type="cellIs" dxfId="1216" priority="1225" operator="equal">
      <formula>"Menor"</formula>
    </cfRule>
    <cfRule type="cellIs" dxfId="1215" priority="1226" operator="equal">
      <formula>"Leve"</formula>
    </cfRule>
  </conditionalFormatting>
  <conditionalFormatting sqref="Q76">
    <cfRule type="cellIs" dxfId="1214" priority="1218" operator="equal">
      <formula>"Extremo"</formula>
    </cfRule>
    <cfRule type="cellIs" dxfId="1213" priority="1219" operator="equal">
      <formula>"Alto"</formula>
    </cfRule>
    <cfRule type="cellIs" dxfId="1212" priority="1220" operator="equal">
      <formula>"Moderado"</formula>
    </cfRule>
    <cfRule type="cellIs" dxfId="1211" priority="1221" operator="equal">
      <formula>"Bajo"</formula>
    </cfRule>
  </conditionalFormatting>
  <conditionalFormatting sqref="N76:N78">
    <cfRule type="containsText" dxfId="1210" priority="1217" operator="containsText" text="❌">
      <formula>NOT(ISERROR(SEARCH("❌",N76)))</formula>
    </cfRule>
  </conditionalFormatting>
  <conditionalFormatting sqref="K79">
    <cfRule type="cellIs" dxfId="1209" priority="1212" operator="equal">
      <formula>"Muy Alta"</formula>
    </cfRule>
    <cfRule type="cellIs" dxfId="1208" priority="1213" operator="equal">
      <formula>"Alta"</formula>
    </cfRule>
    <cfRule type="cellIs" dxfId="1207" priority="1214" operator="equal">
      <formula>"Media"</formula>
    </cfRule>
    <cfRule type="cellIs" dxfId="1206" priority="1215" operator="equal">
      <formula>"Baja"</formula>
    </cfRule>
    <cfRule type="cellIs" dxfId="1205" priority="1216" operator="equal">
      <formula>"Muy Baja"</formula>
    </cfRule>
  </conditionalFormatting>
  <conditionalFormatting sqref="O79">
    <cfRule type="cellIs" dxfId="1204" priority="1207" operator="equal">
      <formula>"Catastrófico"</formula>
    </cfRule>
    <cfRule type="cellIs" dxfId="1203" priority="1208" operator="equal">
      <formula>"Mayor"</formula>
    </cfRule>
    <cfRule type="cellIs" dxfId="1202" priority="1209" operator="equal">
      <formula>"Moderado"</formula>
    </cfRule>
    <cfRule type="cellIs" dxfId="1201" priority="1210" operator="equal">
      <formula>"Menor"</formula>
    </cfRule>
    <cfRule type="cellIs" dxfId="1200" priority="1211" operator="equal">
      <formula>"Leve"</formula>
    </cfRule>
  </conditionalFormatting>
  <conditionalFormatting sqref="Q79">
    <cfRule type="cellIs" dxfId="1199" priority="1203" operator="equal">
      <formula>"Extremo"</formula>
    </cfRule>
    <cfRule type="cellIs" dxfId="1198" priority="1204" operator="equal">
      <formula>"Alto"</formula>
    </cfRule>
    <cfRule type="cellIs" dxfId="1197" priority="1205" operator="equal">
      <formula>"Moderado"</formula>
    </cfRule>
    <cfRule type="cellIs" dxfId="1196" priority="1206" operator="equal">
      <formula>"Bajo"</formula>
    </cfRule>
  </conditionalFormatting>
  <conditionalFormatting sqref="N79:N81">
    <cfRule type="containsText" dxfId="1195" priority="1202" operator="containsText" text="❌">
      <formula>NOT(ISERROR(SEARCH("❌",N79)))</formula>
    </cfRule>
  </conditionalFormatting>
  <conditionalFormatting sqref="O82">
    <cfRule type="cellIs" dxfId="1194" priority="1192" operator="equal">
      <formula>"Catastrófico"</formula>
    </cfRule>
    <cfRule type="cellIs" dxfId="1193" priority="1193" operator="equal">
      <formula>"Mayor"</formula>
    </cfRule>
    <cfRule type="cellIs" dxfId="1192" priority="1194" operator="equal">
      <formula>"Moderado"</formula>
    </cfRule>
    <cfRule type="cellIs" dxfId="1191" priority="1195" operator="equal">
      <formula>"Menor"</formula>
    </cfRule>
    <cfRule type="cellIs" dxfId="1190" priority="1196" operator="equal">
      <formula>"Leve"</formula>
    </cfRule>
  </conditionalFormatting>
  <conditionalFormatting sqref="Q82">
    <cfRule type="cellIs" dxfId="1189" priority="1188" operator="equal">
      <formula>"Extremo"</formula>
    </cfRule>
    <cfRule type="cellIs" dxfId="1188" priority="1189" operator="equal">
      <formula>"Alto"</formula>
    </cfRule>
    <cfRule type="cellIs" dxfId="1187" priority="1190" operator="equal">
      <formula>"Moderado"</formula>
    </cfRule>
    <cfRule type="cellIs" dxfId="1186" priority="1191" operator="equal">
      <formula>"Bajo"</formula>
    </cfRule>
  </conditionalFormatting>
  <conditionalFormatting sqref="N82:N84">
    <cfRule type="containsText" dxfId="1185" priority="1187" operator="containsText" text="❌">
      <formula>NOT(ISERROR(SEARCH("❌",N82)))</formula>
    </cfRule>
  </conditionalFormatting>
  <conditionalFormatting sqref="K85">
    <cfRule type="cellIs" dxfId="1184" priority="1182" operator="equal">
      <formula>"Muy Alta"</formula>
    </cfRule>
    <cfRule type="cellIs" dxfId="1183" priority="1183" operator="equal">
      <formula>"Alta"</formula>
    </cfRule>
    <cfRule type="cellIs" dxfId="1182" priority="1184" operator="equal">
      <formula>"Media"</formula>
    </cfRule>
    <cfRule type="cellIs" dxfId="1181" priority="1185" operator="equal">
      <formula>"Baja"</formula>
    </cfRule>
    <cfRule type="cellIs" dxfId="1180" priority="1186" operator="equal">
      <formula>"Muy Baja"</formula>
    </cfRule>
  </conditionalFormatting>
  <conditionalFormatting sqref="O85">
    <cfRule type="cellIs" dxfId="1179" priority="1177" operator="equal">
      <formula>"Catastrófico"</formula>
    </cfRule>
    <cfRule type="cellIs" dxfId="1178" priority="1178" operator="equal">
      <formula>"Mayor"</formula>
    </cfRule>
    <cfRule type="cellIs" dxfId="1177" priority="1179" operator="equal">
      <formula>"Moderado"</formula>
    </cfRule>
    <cfRule type="cellIs" dxfId="1176" priority="1180" operator="equal">
      <formula>"Menor"</formula>
    </cfRule>
    <cfRule type="cellIs" dxfId="1175" priority="1181" operator="equal">
      <formula>"Leve"</formula>
    </cfRule>
  </conditionalFormatting>
  <conditionalFormatting sqref="Q85">
    <cfRule type="cellIs" dxfId="1174" priority="1173" operator="equal">
      <formula>"Extremo"</formula>
    </cfRule>
    <cfRule type="cellIs" dxfId="1173" priority="1174" operator="equal">
      <formula>"Alto"</formula>
    </cfRule>
    <cfRule type="cellIs" dxfId="1172" priority="1175" operator="equal">
      <formula>"Moderado"</formula>
    </cfRule>
    <cfRule type="cellIs" dxfId="1171" priority="1176" operator="equal">
      <formula>"Bajo"</formula>
    </cfRule>
  </conditionalFormatting>
  <conditionalFormatting sqref="N85:N87">
    <cfRule type="containsText" dxfId="1170" priority="1172" operator="containsText" text="❌">
      <formula>NOT(ISERROR(SEARCH("❌",N85)))</formula>
    </cfRule>
  </conditionalFormatting>
  <conditionalFormatting sqref="K88">
    <cfRule type="cellIs" dxfId="1169" priority="1167" operator="equal">
      <formula>"Muy Alta"</formula>
    </cfRule>
    <cfRule type="cellIs" dxfId="1168" priority="1168" operator="equal">
      <formula>"Alta"</formula>
    </cfRule>
    <cfRule type="cellIs" dxfId="1167" priority="1169" operator="equal">
      <formula>"Media"</formula>
    </cfRule>
    <cfRule type="cellIs" dxfId="1166" priority="1170" operator="equal">
      <formula>"Baja"</formula>
    </cfRule>
    <cfRule type="cellIs" dxfId="1165" priority="1171" operator="equal">
      <formula>"Muy Baja"</formula>
    </cfRule>
  </conditionalFormatting>
  <conditionalFormatting sqref="O88">
    <cfRule type="cellIs" dxfId="1164" priority="1162" operator="equal">
      <formula>"Catastrófico"</formula>
    </cfRule>
    <cfRule type="cellIs" dxfId="1163" priority="1163" operator="equal">
      <formula>"Mayor"</formula>
    </cfRule>
    <cfRule type="cellIs" dxfId="1162" priority="1164" operator="equal">
      <formula>"Moderado"</formula>
    </cfRule>
    <cfRule type="cellIs" dxfId="1161" priority="1165" operator="equal">
      <formula>"Menor"</formula>
    </cfRule>
    <cfRule type="cellIs" dxfId="1160" priority="1166" operator="equal">
      <formula>"Leve"</formula>
    </cfRule>
  </conditionalFormatting>
  <conditionalFormatting sqref="Q88">
    <cfRule type="cellIs" dxfId="1159" priority="1158" operator="equal">
      <formula>"Extremo"</formula>
    </cfRule>
    <cfRule type="cellIs" dxfId="1158" priority="1159" operator="equal">
      <formula>"Alto"</formula>
    </cfRule>
    <cfRule type="cellIs" dxfId="1157" priority="1160" operator="equal">
      <formula>"Moderado"</formula>
    </cfRule>
    <cfRule type="cellIs" dxfId="1156" priority="1161" operator="equal">
      <formula>"Bajo"</formula>
    </cfRule>
  </conditionalFormatting>
  <conditionalFormatting sqref="N88:N90">
    <cfRule type="containsText" dxfId="1155" priority="1157" operator="containsText" text="❌">
      <formula>NOT(ISERROR(SEARCH("❌",N88)))</formula>
    </cfRule>
  </conditionalFormatting>
  <conditionalFormatting sqref="K91">
    <cfRule type="cellIs" dxfId="1154" priority="1152" operator="equal">
      <formula>"Muy Alta"</formula>
    </cfRule>
    <cfRule type="cellIs" dxfId="1153" priority="1153" operator="equal">
      <formula>"Alta"</formula>
    </cfRule>
    <cfRule type="cellIs" dxfId="1152" priority="1154" operator="equal">
      <formula>"Media"</formula>
    </cfRule>
    <cfRule type="cellIs" dxfId="1151" priority="1155" operator="equal">
      <formula>"Baja"</formula>
    </cfRule>
    <cfRule type="cellIs" dxfId="1150" priority="1156" operator="equal">
      <formula>"Muy Baja"</formula>
    </cfRule>
  </conditionalFormatting>
  <conditionalFormatting sqref="O91">
    <cfRule type="cellIs" dxfId="1149" priority="1147" operator="equal">
      <formula>"Catastrófico"</formula>
    </cfRule>
    <cfRule type="cellIs" dxfId="1148" priority="1148" operator="equal">
      <formula>"Mayor"</formula>
    </cfRule>
    <cfRule type="cellIs" dxfId="1147" priority="1149" operator="equal">
      <formula>"Moderado"</formula>
    </cfRule>
    <cfRule type="cellIs" dxfId="1146" priority="1150" operator="equal">
      <formula>"Menor"</formula>
    </cfRule>
    <cfRule type="cellIs" dxfId="1145" priority="1151" operator="equal">
      <formula>"Leve"</formula>
    </cfRule>
  </conditionalFormatting>
  <conditionalFormatting sqref="Q91">
    <cfRule type="cellIs" dxfId="1144" priority="1143" operator="equal">
      <formula>"Extremo"</formula>
    </cfRule>
    <cfRule type="cellIs" dxfId="1143" priority="1144" operator="equal">
      <formula>"Alto"</formula>
    </cfRule>
    <cfRule type="cellIs" dxfId="1142" priority="1145" operator="equal">
      <formula>"Moderado"</formula>
    </cfRule>
    <cfRule type="cellIs" dxfId="1141" priority="1146" operator="equal">
      <formula>"Bajo"</formula>
    </cfRule>
  </conditionalFormatting>
  <conditionalFormatting sqref="N91:N93">
    <cfRule type="containsText" dxfId="1140" priority="1142" operator="containsText" text="❌">
      <formula>NOT(ISERROR(SEARCH("❌",N91)))</formula>
    </cfRule>
  </conditionalFormatting>
  <conditionalFormatting sqref="O94">
    <cfRule type="cellIs" dxfId="1139" priority="1132" operator="equal">
      <formula>"Catastrófico"</formula>
    </cfRule>
    <cfRule type="cellIs" dxfId="1138" priority="1133" operator="equal">
      <formula>"Mayor"</formula>
    </cfRule>
    <cfRule type="cellIs" dxfId="1137" priority="1134" operator="equal">
      <formula>"Moderado"</formula>
    </cfRule>
    <cfRule type="cellIs" dxfId="1136" priority="1135" operator="equal">
      <formula>"Menor"</formula>
    </cfRule>
    <cfRule type="cellIs" dxfId="1135" priority="1136" operator="equal">
      <formula>"Leve"</formula>
    </cfRule>
  </conditionalFormatting>
  <conditionalFormatting sqref="Q94">
    <cfRule type="cellIs" dxfId="1134" priority="1128" operator="equal">
      <formula>"Extremo"</formula>
    </cfRule>
    <cfRule type="cellIs" dxfId="1133" priority="1129" operator="equal">
      <formula>"Alto"</formula>
    </cfRule>
    <cfRule type="cellIs" dxfId="1132" priority="1130" operator="equal">
      <formula>"Moderado"</formula>
    </cfRule>
    <cfRule type="cellIs" dxfId="1131" priority="1131" operator="equal">
      <formula>"Bajo"</formula>
    </cfRule>
  </conditionalFormatting>
  <conditionalFormatting sqref="N94:N96">
    <cfRule type="containsText" dxfId="1130" priority="1127" operator="containsText" text="❌">
      <formula>NOT(ISERROR(SEARCH("❌",N94)))</formula>
    </cfRule>
  </conditionalFormatting>
  <conditionalFormatting sqref="K97">
    <cfRule type="cellIs" dxfId="1129" priority="1122" operator="equal">
      <formula>"Muy Alta"</formula>
    </cfRule>
    <cfRule type="cellIs" dxfId="1128" priority="1123" operator="equal">
      <formula>"Alta"</formula>
    </cfRule>
    <cfRule type="cellIs" dxfId="1127" priority="1124" operator="equal">
      <formula>"Media"</formula>
    </cfRule>
    <cfRule type="cellIs" dxfId="1126" priority="1125" operator="equal">
      <formula>"Baja"</formula>
    </cfRule>
    <cfRule type="cellIs" dxfId="1125" priority="1126" operator="equal">
      <formula>"Muy Baja"</formula>
    </cfRule>
  </conditionalFormatting>
  <conditionalFormatting sqref="O97">
    <cfRule type="cellIs" dxfId="1124" priority="1117" operator="equal">
      <formula>"Catastrófico"</formula>
    </cfRule>
    <cfRule type="cellIs" dxfId="1123" priority="1118" operator="equal">
      <formula>"Mayor"</formula>
    </cfRule>
    <cfRule type="cellIs" dxfId="1122" priority="1119" operator="equal">
      <formula>"Moderado"</formula>
    </cfRule>
    <cfRule type="cellIs" dxfId="1121" priority="1120" operator="equal">
      <formula>"Menor"</formula>
    </cfRule>
    <cfRule type="cellIs" dxfId="1120" priority="1121" operator="equal">
      <formula>"Leve"</formula>
    </cfRule>
  </conditionalFormatting>
  <conditionalFormatting sqref="Q97">
    <cfRule type="cellIs" dxfId="1119" priority="1113" operator="equal">
      <formula>"Extremo"</formula>
    </cfRule>
    <cfRule type="cellIs" dxfId="1118" priority="1114" operator="equal">
      <formula>"Alto"</formula>
    </cfRule>
    <cfRule type="cellIs" dxfId="1117" priority="1115" operator="equal">
      <formula>"Moderado"</formula>
    </cfRule>
    <cfRule type="cellIs" dxfId="1116" priority="1116" operator="equal">
      <formula>"Bajo"</formula>
    </cfRule>
  </conditionalFormatting>
  <conditionalFormatting sqref="N97:N99">
    <cfRule type="containsText" dxfId="1115" priority="1112" operator="containsText" text="❌">
      <formula>NOT(ISERROR(SEARCH("❌",N97)))</formula>
    </cfRule>
  </conditionalFormatting>
  <conditionalFormatting sqref="K100">
    <cfRule type="cellIs" dxfId="1114" priority="1107" operator="equal">
      <formula>"Muy Alta"</formula>
    </cfRule>
    <cfRule type="cellIs" dxfId="1113" priority="1108" operator="equal">
      <formula>"Alta"</formula>
    </cfRule>
    <cfRule type="cellIs" dxfId="1112" priority="1109" operator="equal">
      <formula>"Media"</formula>
    </cfRule>
    <cfRule type="cellIs" dxfId="1111" priority="1110" operator="equal">
      <formula>"Baja"</formula>
    </cfRule>
    <cfRule type="cellIs" dxfId="1110" priority="1111" operator="equal">
      <formula>"Muy Baja"</formula>
    </cfRule>
  </conditionalFormatting>
  <conditionalFormatting sqref="O100">
    <cfRule type="cellIs" dxfId="1109" priority="1102" operator="equal">
      <formula>"Catastrófico"</formula>
    </cfRule>
    <cfRule type="cellIs" dxfId="1108" priority="1103" operator="equal">
      <formula>"Mayor"</formula>
    </cfRule>
    <cfRule type="cellIs" dxfId="1107" priority="1104" operator="equal">
      <formula>"Moderado"</formula>
    </cfRule>
    <cfRule type="cellIs" dxfId="1106" priority="1105" operator="equal">
      <formula>"Menor"</formula>
    </cfRule>
    <cfRule type="cellIs" dxfId="1105" priority="1106" operator="equal">
      <formula>"Leve"</formula>
    </cfRule>
  </conditionalFormatting>
  <conditionalFormatting sqref="Q100">
    <cfRule type="cellIs" dxfId="1104" priority="1098" operator="equal">
      <formula>"Extremo"</formula>
    </cfRule>
    <cfRule type="cellIs" dxfId="1103" priority="1099" operator="equal">
      <formula>"Alto"</formula>
    </cfRule>
    <cfRule type="cellIs" dxfId="1102" priority="1100" operator="equal">
      <formula>"Moderado"</formula>
    </cfRule>
    <cfRule type="cellIs" dxfId="1101" priority="1101" operator="equal">
      <formula>"Bajo"</formula>
    </cfRule>
  </conditionalFormatting>
  <conditionalFormatting sqref="N100:N102">
    <cfRule type="containsText" dxfId="1100" priority="1097" operator="containsText" text="❌">
      <formula>NOT(ISERROR(SEARCH("❌",N100)))</formula>
    </cfRule>
  </conditionalFormatting>
  <conditionalFormatting sqref="K103">
    <cfRule type="cellIs" dxfId="1099" priority="1092" operator="equal">
      <formula>"Muy Alta"</formula>
    </cfRule>
    <cfRule type="cellIs" dxfId="1098" priority="1093" operator="equal">
      <formula>"Alta"</formula>
    </cfRule>
    <cfRule type="cellIs" dxfId="1097" priority="1094" operator="equal">
      <formula>"Media"</formula>
    </cfRule>
    <cfRule type="cellIs" dxfId="1096" priority="1095" operator="equal">
      <formula>"Baja"</formula>
    </cfRule>
    <cfRule type="cellIs" dxfId="1095" priority="1096" operator="equal">
      <formula>"Muy Baja"</formula>
    </cfRule>
  </conditionalFormatting>
  <conditionalFormatting sqref="O103">
    <cfRule type="cellIs" dxfId="1094" priority="1087" operator="equal">
      <formula>"Catastrófico"</formula>
    </cfRule>
    <cfRule type="cellIs" dxfId="1093" priority="1088" operator="equal">
      <formula>"Mayor"</formula>
    </cfRule>
    <cfRule type="cellIs" dxfId="1092" priority="1089" operator="equal">
      <formula>"Moderado"</formula>
    </cfRule>
    <cfRule type="cellIs" dxfId="1091" priority="1090" operator="equal">
      <formula>"Menor"</formula>
    </cfRule>
    <cfRule type="cellIs" dxfId="1090" priority="1091" operator="equal">
      <formula>"Leve"</formula>
    </cfRule>
  </conditionalFormatting>
  <conditionalFormatting sqref="Q103">
    <cfRule type="cellIs" dxfId="1089" priority="1083" operator="equal">
      <formula>"Extremo"</formula>
    </cfRule>
    <cfRule type="cellIs" dxfId="1088" priority="1084" operator="equal">
      <formula>"Alto"</formula>
    </cfRule>
    <cfRule type="cellIs" dxfId="1087" priority="1085" operator="equal">
      <formula>"Moderado"</formula>
    </cfRule>
    <cfRule type="cellIs" dxfId="1086" priority="1086" operator="equal">
      <formula>"Bajo"</formula>
    </cfRule>
  </conditionalFormatting>
  <conditionalFormatting sqref="N103:N105">
    <cfRule type="containsText" dxfId="1085" priority="1082" operator="containsText" text="❌">
      <formula>NOT(ISERROR(SEARCH("❌",N103)))</formula>
    </cfRule>
  </conditionalFormatting>
  <conditionalFormatting sqref="K121">
    <cfRule type="cellIs" dxfId="1084" priority="1077" operator="equal">
      <formula>"Muy Alta"</formula>
    </cfRule>
    <cfRule type="cellIs" dxfId="1083" priority="1078" operator="equal">
      <formula>"Alta"</formula>
    </cfRule>
    <cfRule type="cellIs" dxfId="1082" priority="1079" operator="equal">
      <formula>"Media"</formula>
    </cfRule>
    <cfRule type="cellIs" dxfId="1081" priority="1080" operator="equal">
      <formula>"Baja"</formula>
    </cfRule>
    <cfRule type="cellIs" dxfId="1080" priority="1081" operator="equal">
      <formula>"Muy Baja"</formula>
    </cfRule>
  </conditionalFormatting>
  <conditionalFormatting sqref="O121">
    <cfRule type="cellIs" dxfId="1079" priority="1072" operator="equal">
      <formula>"Catastrófico"</formula>
    </cfRule>
    <cfRule type="cellIs" dxfId="1078" priority="1073" operator="equal">
      <formula>"Mayor"</formula>
    </cfRule>
    <cfRule type="cellIs" dxfId="1077" priority="1074" operator="equal">
      <formula>"Moderado"</formula>
    </cfRule>
    <cfRule type="cellIs" dxfId="1076" priority="1075" operator="equal">
      <formula>"Menor"</formula>
    </cfRule>
    <cfRule type="cellIs" dxfId="1075" priority="1076" operator="equal">
      <formula>"Leve"</formula>
    </cfRule>
  </conditionalFormatting>
  <conditionalFormatting sqref="Q121">
    <cfRule type="cellIs" dxfId="1074" priority="1068" operator="equal">
      <formula>"Extremo"</formula>
    </cfRule>
    <cfRule type="cellIs" dxfId="1073" priority="1069" operator="equal">
      <formula>"Alto"</formula>
    </cfRule>
    <cfRule type="cellIs" dxfId="1072" priority="1070" operator="equal">
      <formula>"Moderado"</formula>
    </cfRule>
    <cfRule type="cellIs" dxfId="1071" priority="1071" operator="equal">
      <formula>"Bajo"</formula>
    </cfRule>
  </conditionalFormatting>
  <conditionalFormatting sqref="N121:N123">
    <cfRule type="containsText" dxfId="1070" priority="1067" operator="containsText" text="❌">
      <formula>NOT(ISERROR(SEARCH("❌",N121)))</formula>
    </cfRule>
  </conditionalFormatting>
  <conditionalFormatting sqref="AB106">
    <cfRule type="cellIs" dxfId="1069" priority="1062" operator="equal">
      <formula>"Muy Alta"</formula>
    </cfRule>
    <cfRule type="cellIs" dxfId="1068" priority="1063" operator="equal">
      <formula>"Alta"</formula>
    </cfRule>
    <cfRule type="cellIs" dxfId="1067" priority="1064" operator="equal">
      <formula>"Media"</formula>
    </cfRule>
    <cfRule type="cellIs" dxfId="1066" priority="1065" operator="equal">
      <formula>"Baja"</formula>
    </cfRule>
    <cfRule type="cellIs" dxfId="1065" priority="1066" operator="equal">
      <formula>"Muy Baja"</formula>
    </cfRule>
  </conditionalFormatting>
  <conditionalFormatting sqref="AD106">
    <cfRule type="cellIs" dxfId="1064" priority="1057" operator="equal">
      <formula>"Catastrófico"</formula>
    </cfRule>
    <cfRule type="cellIs" dxfId="1063" priority="1058" operator="equal">
      <formula>"Mayor"</formula>
    </cfRule>
    <cfRule type="cellIs" dxfId="1062" priority="1059" operator="equal">
      <formula>"Moderado"</formula>
    </cfRule>
    <cfRule type="cellIs" dxfId="1061" priority="1060" operator="equal">
      <formula>"Menor"</formula>
    </cfRule>
    <cfRule type="cellIs" dxfId="1060" priority="1061" operator="equal">
      <formula>"Leve"</formula>
    </cfRule>
  </conditionalFormatting>
  <conditionalFormatting sqref="AF106">
    <cfRule type="cellIs" dxfId="1059" priority="1053" operator="equal">
      <formula>"Extremo"</formula>
    </cfRule>
    <cfRule type="cellIs" dxfId="1058" priority="1054" operator="equal">
      <formula>"Alto"</formula>
    </cfRule>
    <cfRule type="cellIs" dxfId="1057" priority="1055" operator="equal">
      <formula>"Moderado"</formula>
    </cfRule>
    <cfRule type="cellIs" dxfId="1056" priority="1056" operator="equal">
      <formula>"Bajo"</formula>
    </cfRule>
  </conditionalFormatting>
  <conditionalFormatting sqref="AB107">
    <cfRule type="cellIs" dxfId="1055" priority="1048" operator="equal">
      <formula>"Muy Alta"</formula>
    </cfRule>
    <cfRule type="cellIs" dxfId="1054" priority="1049" operator="equal">
      <formula>"Alta"</formula>
    </cfRule>
    <cfRule type="cellIs" dxfId="1053" priority="1050" operator="equal">
      <formula>"Media"</formula>
    </cfRule>
    <cfRule type="cellIs" dxfId="1052" priority="1051" operator="equal">
      <formula>"Baja"</formula>
    </cfRule>
    <cfRule type="cellIs" dxfId="1051" priority="1052" operator="equal">
      <formula>"Muy Baja"</formula>
    </cfRule>
  </conditionalFormatting>
  <conditionalFormatting sqref="AD107">
    <cfRule type="cellIs" dxfId="1050" priority="1043" operator="equal">
      <formula>"Catastrófico"</formula>
    </cfRule>
    <cfRule type="cellIs" dxfId="1049" priority="1044" operator="equal">
      <formula>"Mayor"</formula>
    </cfRule>
    <cfRule type="cellIs" dxfId="1048" priority="1045" operator="equal">
      <formula>"Moderado"</formula>
    </cfRule>
    <cfRule type="cellIs" dxfId="1047" priority="1046" operator="equal">
      <formula>"Menor"</formula>
    </cfRule>
    <cfRule type="cellIs" dxfId="1046" priority="1047" operator="equal">
      <formula>"Leve"</formula>
    </cfRule>
  </conditionalFormatting>
  <conditionalFormatting sqref="AF107">
    <cfRule type="cellIs" dxfId="1045" priority="1039" operator="equal">
      <formula>"Extremo"</formula>
    </cfRule>
    <cfRule type="cellIs" dxfId="1044" priority="1040" operator="equal">
      <formula>"Alto"</formula>
    </cfRule>
    <cfRule type="cellIs" dxfId="1043" priority="1041" operator="equal">
      <formula>"Moderado"</formula>
    </cfRule>
    <cfRule type="cellIs" dxfId="1042" priority="1042" operator="equal">
      <formula>"Bajo"</formula>
    </cfRule>
  </conditionalFormatting>
  <conditionalFormatting sqref="AB108">
    <cfRule type="cellIs" dxfId="1041" priority="1034" operator="equal">
      <formula>"Muy Alta"</formula>
    </cfRule>
    <cfRule type="cellIs" dxfId="1040" priority="1035" operator="equal">
      <formula>"Alta"</formula>
    </cfRule>
    <cfRule type="cellIs" dxfId="1039" priority="1036" operator="equal">
      <formula>"Media"</formula>
    </cfRule>
    <cfRule type="cellIs" dxfId="1038" priority="1037" operator="equal">
      <formula>"Baja"</formula>
    </cfRule>
    <cfRule type="cellIs" dxfId="1037" priority="1038" operator="equal">
      <formula>"Muy Baja"</formula>
    </cfRule>
  </conditionalFormatting>
  <conditionalFormatting sqref="AD108">
    <cfRule type="cellIs" dxfId="1036" priority="1029" operator="equal">
      <formula>"Catastrófico"</formula>
    </cfRule>
    <cfRule type="cellIs" dxfId="1035" priority="1030" operator="equal">
      <formula>"Mayor"</formula>
    </cfRule>
    <cfRule type="cellIs" dxfId="1034" priority="1031" operator="equal">
      <formula>"Moderado"</formula>
    </cfRule>
    <cfRule type="cellIs" dxfId="1033" priority="1032" operator="equal">
      <formula>"Menor"</formula>
    </cfRule>
    <cfRule type="cellIs" dxfId="1032" priority="1033" operator="equal">
      <formula>"Leve"</formula>
    </cfRule>
  </conditionalFormatting>
  <conditionalFormatting sqref="AF108">
    <cfRule type="cellIs" dxfId="1031" priority="1025" operator="equal">
      <formula>"Extremo"</formula>
    </cfRule>
    <cfRule type="cellIs" dxfId="1030" priority="1026" operator="equal">
      <formula>"Alto"</formula>
    </cfRule>
    <cfRule type="cellIs" dxfId="1029" priority="1027" operator="equal">
      <formula>"Moderado"</formula>
    </cfRule>
    <cfRule type="cellIs" dxfId="1028" priority="1028" operator="equal">
      <formula>"Bajo"</formula>
    </cfRule>
  </conditionalFormatting>
  <conditionalFormatting sqref="K106">
    <cfRule type="cellIs" dxfId="1027" priority="1020" operator="equal">
      <formula>"Muy Alta"</formula>
    </cfRule>
    <cfRule type="cellIs" dxfId="1026" priority="1021" operator="equal">
      <formula>"Alta"</formula>
    </cfRule>
    <cfRule type="cellIs" dxfId="1025" priority="1022" operator="equal">
      <formula>"Media"</formula>
    </cfRule>
    <cfRule type="cellIs" dxfId="1024" priority="1023" operator="equal">
      <formula>"Baja"</formula>
    </cfRule>
    <cfRule type="cellIs" dxfId="1023" priority="1024" operator="equal">
      <formula>"Muy Baja"</formula>
    </cfRule>
  </conditionalFormatting>
  <conditionalFormatting sqref="O106">
    <cfRule type="cellIs" dxfId="1022" priority="1015" operator="equal">
      <formula>"Catastrófico"</formula>
    </cfRule>
    <cfRule type="cellIs" dxfId="1021" priority="1016" operator="equal">
      <formula>"Mayor"</formula>
    </cfRule>
    <cfRule type="cellIs" dxfId="1020" priority="1017" operator="equal">
      <formula>"Moderado"</formula>
    </cfRule>
    <cfRule type="cellIs" dxfId="1019" priority="1018" operator="equal">
      <formula>"Menor"</formula>
    </cfRule>
    <cfRule type="cellIs" dxfId="1018" priority="1019" operator="equal">
      <formula>"Leve"</formula>
    </cfRule>
  </conditionalFormatting>
  <conditionalFormatting sqref="Q106">
    <cfRule type="cellIs" dxfId="1017" priority="1011" operator="equal">
      <formula>"Extremo"</formula>
    </cfRule>
    <cfRule type="cellIs" dxfId="1016" priority="1012" operator="equal">
      <formula>"Alto"</formula>
    </cfRule>
    <cfRule type="cellIs" dxfId="1015" priority="1013" operator="equal">
      <formula>"Moderado"</formula>
    </cfRule>
    <cfRule type="cellIs" dxfId="1014" priority="1014" operator="equal">
      <formula>"Bajo"</formula>
    </cfRule>
  </conditionalFormatting>
  <conditionalFormatting sqref="N106:N108">
    <cfRule type="containsText" dxfId="1013" priority="1010" operator="containsText" text="❌">
      <formula>NOT(ISERROR(SEARCH("❌",N106)))</formula>
    </cfRule>
  </conditionalFormatting>
  <conditionalFormatting sqref="AB109">
    <cfRule type="cellIs" dxfId="1012" priority="1005" operator="equal">
      <formula>"Muy Alta"</formula>
    </cfRule>
    <cfRule type="cellIs" dxfId="1011" priority="1006" operator="equal">
      <formula>"Alta"</formula>
    </cfRule>
    <cfRule type="cellIs" dxfId="1010" priority="1007" operator="equal">
      <formula>"Media"</formula>
    </cfRule>
    <cfRule type="cellIs" dxfId="1009" priority="1008" operator="equal">
      <formula>"Baja"</formula>
    </cfRule>
    <cfRule type="cellIs" dxfId="1008" priority="1009" operator="equal">
      <formula>"Muy Baja"</formula>
    </cfRule>
  </conditionalFormatting>
  <conditionalFormatting sqref="AD109">
    <cfRule type="cellIs" dxfId="1007" priority="1000" operator="equal">
      <formula>"Catastrófico"</formula>
    </cfRule>
    <cfRule type="cellIs" dxfId="1006" priority="1001" operator="equal">
      <formula>"Mayor"</formula>
    </cfRule>
    <cfRule type="cellIs" dxfId="1005" priority="1002" operator="equal">
      <formula>"Moderado"</formula>
    </cfRule>
    <cfRule type="cellIs" dxfId="1004" priority="1003" operator="equal">
      <formula>"Menor"</formula>
    </cfRule>
    <cfRule type="cellIs" dxfId="1003" priority="1004" operator="equal">
      <formula>"Leve"</formula>
    </cfRule>
  </conditionalFormatting>
  <conditionalFormatting sqref="AF109">
    <cfRule type="cellIs" dxfId="1002" priority="996" operator="equal">
      <formula>"Extremo"</formula>
    </cfRule>
    <cfRule type="cellIs" dxfId="1001" priority="997" operator="equal">
      <formula>"Alto"</formula>
    </cfRule>
    <cfRule type="cellIs" dxfId="1000" priority="998" operator="equal">
      <formula>"Moderado"</formula>
    </cfRule>
    <cfRule type="cellIs" dxfId="999" priority="999" operator="equal">
      <formula>"Bajo"</formula>
    </cfRule>
  </conditionalFormatting>
  <conditionalFormatting sqref="AB110">
    <cfRule type="cellIs" dxfId="998" priority="991" operator="equal">
      <formula>"Muy Alta"</formula>
    </cfRule>
    <cfRule type="cellIs" dxfId="997" priority="992" operator="equal">
      <formula>"Alta"</formula>
    </cfRule>
    <cfRule type="cellIs" dxfId="996" priority="993" operator="equal">
      <formula>"Media"</formula>
    </cfRule>
    <cfRule type="cellIs" dxfId="995" priority="994" operator="equal">
      <formula>"Baja"</formula>
    </cfRule>
    <cfRule type="cellIs" dxfId="994" priority="995" operator="equal">
      <formula>"Muy Baja"</formula>
    </cfRule>
  </conditionalFormatting>
  <conditionalFormatting sqref="AD110">
    <cfRule type="cellIs" dxfId="993" priority="986" operator="equal">
      <formula>"Catastrófico"</formula>
    </cfRule>
    <cfRule type="cellIs" dxfId="992" priority="987" operator="equal">
      <formula>"Mayor"</formula>
    </cfRule>
    <cfRule type="cellIs" dxfId="991" priority="988" operator="equal">
      <formula>"Moderado"</formula>
    </cfRule>
    <cfRule type="cellIs" dxfId="990" priority="989" operator="equal">
      <formula>"Menor"</formula>
    </cfRule>
    <cfRule type="cellIs" dxfId="989" priority="990" operator="equal">
      <formula>"Leve"</formula>
    </cfRule>
  </conditionalFormatting>
  <conditionalFormatting sqref="AF110">
    <cfRule type="cellIs" dxfId="988" priority="982" operator="equal">
      <formula>"Extremo"</formula>
    </cfRule>
    <cfRule type="cellIs" dxfId="987" priority="983" operator="equal">
      <formula>"Alto"</formula>
    </cfRule>
    <cfRule type="cellIs" dxfId="986" priority="984" operator="equal">
      <formula>"Moderado"</formula>
    </cfRule>
    <cfRule type="cellIs" dxfId="985" priority="985" operator="equal">
      <formula>"Bajo"</formula>
    </cfRule>
  </conditionalFormatting>
  <conditionalFormatting sqref="AB111">
    <cfRule type="cellIs" dxfId="984" priority="977" operator="equal">
      <formula>"Muy Alta"</formula>
    </cfRule>
    <cfRule type="cellIs" dxfId="983" priority="978" operator="equal">
      <formula>"Alta"</formula>
    </cfRule>
    <cfRule type="cellIs" dxfId="982" priority="979" operator="equal">
      <formula>"Media"</formula>
    </cfRule>
    <cfRule type="cellIs" dxfId="981" priority="980" operator="equal">
      <formula>"Baja"</formula>
    </cfRule>
    <cfRule type="cellIs" dxfId="980" priority="981" operator="equal">
      <formula>"Muy Baja"</formula>
    </cfRule>
  </conditionalFormatting>
  <conditionalFormatting sqref="AD111">
    <cfRule type="cellIs" dxfId="979" priority="972" operator="equal">
      <formula>"Catastrófico"</formula>
    </cfRule>
    <cfRule type="cellIs" dxfId="978" priority="973" operator="equal">
      <formula>"Mayor"</formula>
    </cfRule>
    <cfRule type="cellIs" dxfId="977" priority="974" operator="equal">
      <formula>"Moderado"</formula>
    </cfRule>
    <cfRule type="cellIs" dxfId="976" priority="975" operator="equal">
      <formula>"Menor"</formula>
    </cfRule>
    <cfRule type="cellIs" dxfId="975" priority="976" operator="equal">
      <formula>"Leve"</formula>
    </cfRule>
  </conditionalFormatting>
  <conditionalFormatting sqref="AF111">
    <cfRule type="cellIs" dxfId="974" priority="968" operator="equal">
      <formula>"Extremo"</formula>
    </cfRule>
    <cfRule type="cellIs" dxfId="973" priority="969" operator="equal">
      <formula>"Alto"</formula>
    </cfRule>
    <cfRule type="cellIs" dxfId="972" priority="970" operator="equal">
      <formula>"Moderado"</formula>
    </cfRule>
    <cfRule type="cellIs" dxfId="971" priority="971" operator="equal">
      <formula>"Bajo"</formula>
    </cfRule>
  </conditionalFormatting>
  <conditionalFormatting sqref="K109">
    <cfRule type="cellIs" dxfId="970" priority="963" operator="equal">
      <formula>"Muy Alta"</formula>
    </cfRule>
    <cfRule type="cellIs" dxfId="969" priority="964" operator="equal">
      <formula>"Alta"</formula>
    </cfRule>
    <cfRule type="cellIs" dxfId="968" priority="965" operator="equal">
      <formula>"Media"</formula>
    </cfRule>
    <cfRule type="cellIs" dxfId="967" priority="966" operator="equal">
      <formula>"Baja"</formula>
    </cfRule>
    <cfRule type="cellIs" dxfId="966" priority="967" operator="equal">
      <formula>"Muy Baja"</formula>
    </cfRule>
  </conditionalFormatting>
  <conditionalFormatting sqref="O109">
    <cfRule type="cellIs" dxfId="965" priority="958" operator="equal">
      <formula>"Catastrófico"</formula>
    </cfRule>
    <cfRule type="cellIs" dxfId="964" priority="959" operator="equal">
      <formula>"Mayor"</formula>
    </cfRule>
    <cfRule type="cellIs" dxfId="963" priority="960" operator="equal">
      <formula>"Moderado"</formula>
    </cfRule>
    <cfRule type="cellIs" dxfId="962" priority="961" operator="equal">
      <formula>"Menor"</formula>
    </cfRule>
    <cfRule type="cellIs" dxfId="961" priority="962" operator="equal">
      <formula>"Leve"</formula>
    </cfRule>
  </conditionalFormatting>
  <conditionalFormatting sqref="Q109">
    <cfRule type="cellIs" dxfId="960" priority="954" operator="equal">
      <formula>"Extremo"</formula>
    </cfRule>
    <cfRule type="cellIs" dxfId="959" priority="955" operator="equal">
      <formula>"Alto"</formula>
    </cfRule>
    <cfRule type="cellIs" dxfId="958" priority="956" operator="equal">
      <formula>"Moderado"</formula>
    </cfRule>
    <cfRule type="cellIs" dxfId="957" priority="957" operator="equal">
      <formula>"Bajo"</formula>
    </cfRule>
  </conditionalFormatting>
  <conditionalFormatting sqref="N109:N111">
    <cfRule type="containsText" dxfId="956" priority="953" operator="containsText" text="❌">
      <formula>NOT(ISERROR(SEARCH("❌",N109)))</formula>
    </cfRule>
  </conditionalFormatting>
  <conditionalFormatting sqref="AB112">
    <cfRule type="cellIs" dxfId="955" priority="948" operator="equal">
      <formula>"Muy Alta"</formula>
    </cfRule>
    <cfRule type="cellIs" dxfId="954" priority="949" operator="equal">
      <formula>"Alta"</formula>
    </cfRule>
    <cfRule type="cellIs" dxfId="953" priority="950" operator="equal">
      <formula>"Media"</formula>
    </cfRule>
    <cfRule type="cellIs" dxfId="952" priority="951" operator="equal">
      <formula>"Baja"</formula>
    </cfRule>
    <cfRule type="cellIs" dxfId="951" priority="952" operator="equal">
      <formula>"Muy Baja"</formula>
    </cfRule>
  </conditionalFormatting>
  <conditionalFormatting sqref="AD112">
    <cfRule type="cellIs" dxfId="950" priority="943" operator="equal">
      <formula>"Catastrófico"</formula>
    </cfRule>
    <cfRule type="cellIs" dxfId="949" priority="944" operator="equal">
      <formula>"Mayor"</formula>
    </cfRule>
    <cfRule type="cellIs" dxfId="948" priority="945" operator="equal">
      <formula>"Moderado"</formula>
    </cfRule>
    <cfRule type="cellIs" dxfId="947" priority="946" operator="equal">
      <formula>"Menor"</formula>
    </cfRule>
    <cfRule type="cellIs" dxfId="946" priority="947" operator="equal">
      <formula>"Leve"</formula>
    </cfRule>
  </conditionalFormatting>
  <conditionalFormatting sqref="AF112">
    <cfRule type="cellIs" dxfId="945" priority="939" operator="equal">
      <formula>"Extremo"</formula>
    </cfRule>
    <cfRule type="cellIs" dxfId="944" priority="940" operator="equal">
      <formula>"Alto"</formula>
    </cfRule>
    <cfRule type="cellIs" dxfId="943" priority="941" operator="equal">
      <formula>"Moderado"</formula>
    </cfRule>
    <cfRule type="cellIs" dxfId="942" priority="942" operator="equal">
      <formula>"Bajo"</formula>
    </cfRule>
  </conditionalFormatting>
  <conditionalFormatting sqref="AB113">
    <cfRule type="cellIs" dxfId="941" priority="934" operator="equal">
      <formula>"Muy Alta"</formula>
    </cfRule>
    <cfRule type="cellIs" dxfId="940" priority="935" operator="equal">
      <formula>"Alta"</formula>
    </cfRule>
    <cfRule type="cellIs" dxfId="939" priority="936" operator="equal">
      <formula>"Media"</formula>
    </cfRule>
    <cfRule type="cellIs" dxfId="938" priority="937" operator="equal">
      <formula>"Baja"</formula>
    </cfRule>
    <cfRule type="cellIs" dxfId="937" priority="938" operator="equal">
      <formula>"Muy Baja"</formula>
    </cfRule>
  </conditionalFormatting>
  <conditionalFormatting sqref="AD113">
    <cfRule type="cellIs" dxfId="936" priority="929" operator="equal">
      <formula>"Catastrófico"</formula>
    </cfRule>
    <cfRule type="cellIs" dxfId="935" priority="930" operator="equal">
      <formula>"Mayor"</formula>
    </cfRule>
    <cfRule type="cellIs" dxfId="934" priority="931" operator="equal">
      <formula>"Moderado"</formula>
    </cfRule>
    <cfRule type="cellIs" dxfId="933" priority="932" operator="equal">
      <formula>"Menor"</formula>
    </cfRule>
    <cfRule type="cellIs" dxfId="932" priority="933" operator="equal">
      <formula>"Leve"</formula>
    </cfRule>
  </conditionalFormatting>
  <conditionalFormatting sqref="AF113">
    <cfRule type="cellIs" dxfId="931" priority="925" operator="equal">
      <formula>"Extremo"</formula>
    </cfRule>
    <cfRule type="cellIs" dxfId="930" priority="926" operator="equal">
      <formula>"Alto"</formula>
    </cfRule>
    <cfRule type="cellIs" dxfId="929" priority="927" operator="equal">
      <formula>"Moderado"</formula>
    </cfRule>
    <cfRule type="cellIs" dxfId="928" priority="928" operator="equal">
      <formula>"Bajo"</formula>
    </cfRule>
  </conditionalFormatting>
  <conditionalFormatting sqref="AB114">
    <cfRule type="cellIs" dxfId="927" priority="920" operator="equal">
      <formula>"Muy Alta"</formula>
    </cfRule>
    <cfRule type="cellIs" dxfId="926" priority="921" operator="equal">
      <formula>"Alta"</formula>
    </cfRule>
    <cfRule type="cellIs" dxfId="925" priority="922" operator="equal">
      <formula>"Media"</formula>
    </cfRule>
    <cfRule type="cellIs" dxfId="924" priority="923" operator="equal">
      <formula>"Baja"</formula>
    </cfRule>
    <cfRule type="cellIs" dxfId="923" priority="924" operator="equal">
      <formula>"Muy Baja"</formula>
    </cfRule>
  </conditionalFormatting>
  <conditionalFormatting sqref="AD114">
    <cfRule type="cellIs" dxfId="922" priority="915" operator="equal">
      <formula>"Catastrófico"</formula>
    </cfRule>
    <cfRule type="cellIs" dxfId="921" priority="916" operator="equal">
      <formula>"Mayor"</formula>
    </cfRule>
    <cfRule type="cellIs" dxfId="920" priority="917" operator="equal">
      <formula>"Moderado"</formula>
    </cfRule>
    <cfRule type="cellIs" dxfId="919" priority="918" operator="equal">
      <formula>"Menor"</formula>
    </cfRule>
    <cfRule type="cellIs" dxfId="918" priority="919" operator="equal">
      <formula>"Leve"</formula>
    </cfRule>
  </conditionalFormatting>
  <conditionalFormatting sqref="AF114">
    <cfRule type="cellIs" dxfId="917" priority="911" operator="equal">
      <formula>"Extremo"</formula>
    </cfRule>
    <cfRule type="cellIs" dxfId="916" priority="912" operator="equal">
      <formula>"Alto"</formula>
    </cfRule>
    <cfRule type="cellIs" dxfId="915" priority="913" operator="equal">
      <formula>"Moderado"</formula>
    </cfRule>
    <cfRule type="cellIs" dxfId="914" priority="914" operator="equal">
      <formula>"Bajo"</formula>
    </cfRule>
  </conditionalFormatting>
  <conditionalFormatting sqref="K112">
    <cfRule type="cellIs" dxfId="913" priority="906" operator="equal">
      <formula>"Muy Alta"</formula>
    </cfRule>
    <cfRule type="cellIs" dxfId="912" priority="907" operator="equal">
      <formula>"Alta"</formula>
    </cfRule>
    <cfRule type="cellIs" dxfId="911" priority="908" operator="equal">
      <formula>"Media"</formula>
    </cfRule>
    <cfRule type="cellIs" dxfId="910" priority="909" operator="equal">
      <formula>"Baja"</formula>
    </cfRule>
    <cfRule type="cellIs" dxfId="909" priority="910" operator="equal">
      <formula>"Muy Baja"</formula>
    </cfRule>
  </conditionalFormatting>
  <conditionalFormatting sqref="O112">
    <cfRule type="cellIs" dxfId="908" priority="901" operator="equal">
      <formula>"Catastrófico"</formula>
    </cfRule>
    <cfRule type="cellIs" dxfId="907" priority="902" operator="equal">
      <formula>"Mayor"</formula>
    </cfRule>
    <cfRule type="cellIs" dxfId="906" priority="903" operator="equal">
      <formula>"Moderado"</formula>
    </cfRule>
    <cfRule type="cellIs" dxfId="905" priority="904" operator="equal">
      <formula>"Menor"</formula>
    </cfRule>
    <cfRule type="cellIs" dxfId="904" priority="905" operator="equal">
      <formula>"Leve"</formula>
    </cfRule>
  </conditionalFormatting>
  <conditionalFormatting sqref="Q112">
    <cfRule type="cellIs" dxfId="903" priority="897" operator="equal">
      <formula>"Extremo"</formula>
    </cfRule>
    <cfRule type="cellIs" dxfId="902" priority="898" operator="equal">
      <formula>"Alto"</formula>
    </cfRule>
    <cfRule type="cellIs" dxfId="901" priority="899" operator="equal">
      <formula>"Moderado"</formula>
    </cfRule>
    <cfRule type="cellIs" dxfId="900" priority="900" operator="equal">
      <formula>"Bajo"</formula>
    </cfRule>
  </conditionalFormatting>
  <conditionalFormatting sqref="N112:N114">
    <cfRule type="containsText" dxfId="899" priority="896" operator="containsText" text="❌">
      <formula>NOT(ISERROR(SEARCH("❌",N112)))</formula>
    </cfRule>
  </conditionalFormatting>
  <conditionalFormatting sqref="AB115">
    <cfRule type="cellIs" dxfId="898" priority="891" operator="equal">
      <formula>"Muy Alta"</formula>
    </cfRule>
    <cfRule type="cellIs" dxfId="897" priority="892" operator="equal">
      <formula>"Alta"</formula>
    </cfRule>
    <cfRule type="cellIs" dxfId="896" priority="893" operator="equal">
      <formula>"Media"</formula>
    </cfRule>
    <cfRule type="cellIs" dxfId="895" priority="894" operator="equal">
      <formula>"Baja"</formula>
    </cfRule>
    <cfRule type="cellIs" dxfId="894" priority="895" operator="equal">
      <formula>"Muy Baja"</formula>
    </cfRule>
  </conditionalFormatting>
  <conditionalFormatting sqref="AD115">
    <cfRule type="cellIs" dxfId="893" priority="886" operator="equal">
      <formula>"Catastrófico"</formula>
    </cfRule>
    <cfRule type="cellIs" dxfId="892" priority="887" operator="equal">
      <formula>"Mayor"</formula>
    </cfRule>
    <cfRule type="cellIs" dxfId="891" priority="888" operator="equal">
      <formula>"Moderado"</formula>
    </cfRule>
    <cfRule type="cellIs" dxfId="890" priority="889" operator="equal">
      <formula>"Menor"</formula>
    </cfRule>
    <cfRule type="cellIs" dxfId="889" priority="890" operator="equal">
      <formula>"Leve"</formula>
    </cfRule>
  </conditionalFormatting>
  <conditionalFormatting sqref="AF115">
    <cfRule type="cellIs" dxfId="888" priority="882" operator="equal">
      <formula>"Extremo"</formula>
    </cfRule>
    <cfRule type="cellIs" dxfId="887" priority="883" operator="equal">
      <formula>"Alto"</formula>
    </cfRule>
    <cfRule type="cellIs" dxfId="886" priority="884" operator="equal">
      <formula>"Moderado"</formula>
    </cfRule>
    <cfRule type="cellIs" dxfId="885" priority="885" operator="equal">
      <formula>"Bajo"</formula>
    </cfRule>
  </conditionalFormatting>
  <conditionalFormatting sqref="AB116">
    <cfRule type="cellIs" dxfId="884" priority="877" operator="equal">
      <formula>"Muy Alta"</formula>
    </cfRule>
    <cfRule type="cellIs" dxfId="883" priority="878" operator="equal">
      <formula>"Alta"</formula>
    </cfRule>
    <cfRule type="cellIs" dxfId="882" priority="879" operator="equal">
      <formula>"Media"</formula>
    </cfRule>
    <cfRule type="cellIs" dxfId="881" priority="880" operator="equal">
      <formula>"Baja"</formula>
    </cfRule>
    <cfRule type="cellIs" dxfId="880" priority="881" operator="equal">
      <formula>"Muy Baja"</formula>
    </cfRule>
  </conditionalFormatting>
  <conditionalFormatting sqref="AD116">
    <cfRule type="cellIs" dxfId="879" priority="872" operator="equal">
      <formula>"Catastrófico"</formula>
    </cfRule>
    <cfRule type="cellIs" dxfId="878" priority="873" operator="equal">
      <formula>"Mayor"</formula>
    </cfRule>
    <cfRule type="cellIs" dxfId="877" priority="874" operator="equal">
      <formula>"Moderado"</formula>
    </cfRule>
    <cfRule type="cellIs" dxfId="876" priority="875" operator="equal">
      <formula>"Menor"</formula>
    </cfRule>
    <cfRule type="cellIs" dxfId="875" priority="876" operator="equal">
      <formula>"Leve"</formula>
    </cfRule>
  </conditionalFormatting>
  <conditionalFormatting sqref="AF116">
    <cfRule type="cellIs" dxfId="874" priority="868" operator="equal">
      <formula>"Extremo"</formula>
    </cfRule>
    <cfRule type="cellIs" dxfId="873" priority="869" operator="equal">
      <formula>"Alto"</formula>
    </cfRule>
    <cfRule type="cellIs" dxfId="872" priority="870" operator="equal">
      <formula>"Moderado"</formula>
    </cfRule>
    <cfRule type="cellIs" dxfId="871" priority="871" operator="equal">
      <formula>"Bajo"</formula>
    </cfRule>
  </conditionalFormatting>
  <conditionalFormatting sqref="AB117">
    <cfRule type="cellIs" dxfId="870" priority="863" operator="equal">
      <formula>"Muy Alta"</formula>
    </cfRule>
    <cfRule type="cellIs" dxfId="869" priority="864" operator="equal">
      <formula>"Alta"</formula>
    </cfRule>
    <cfRule type="cellIs" dxfId="868" priority="865" operator="equal">
      <formula>"Media"</formula>
    </cfRule>
    <cfRule type="cellIs" dxfId="867" priority="866" operator="equal">
      <formula>"Baja"</formula>
    </cfRule>
    <cfRule type="cellIs" dxfId="866" priority="867" operator="equal">
      <formula>"Muy Baja"</formula>
    </cfRule>
  </conditionalFormatting>
  <conditionalFormatting sqref="AD117">
    <cfRule type="cellIs" dxfId="865" priority="858" operator="equal">
      <formula>"Catastrófico"</formula>
    </cfRule>
    <cfRule type="cellIs" dxfId="864" priority="859" operator="equal">
      <formula>"Mayor"</formula>
    </cfRule>
    <cfRule type="cellIs" dxfId="863" priority="860" operator="equal">
      <formula>"Moderado"</formula>
    </cfRule>
    <cfRule type="cellIs" dxfId="862" priority="861" operator="equal">
      <formula>"Menor"</formula>
    </cfRule>
    <cfRule type="cellIs" dxfId="861" priority="862" operator="equal">
      <formula>"Leve"</formula>
    </cfRule>
  </conditionalFormatting>
  <conditionalFormatting sqref="AF117">
    <cfRule type="cellIs" dxfId="860" priority="854" operator="equal">
      <formula>"Extremo"</formula>
    </cfRule>
    <cfRule type="cellIs" dxfId="859" priority="855" operator="equal">
      <formula>"Alto"</formula>
    </cfRule>
    <cfRule type="cellIs" dxfId="858" priority="856" operator="equal">
      <formula>"Moderado"</formula>
    </cfRule>
    <cfRule type="cellIs" dxfId="857" priority="857" operator="equal">
      <formula>"Bajo"</formula>
    </cfRule>
  </conditionalFormatting>
  <conditionalFormatting sqref="K115">
    <cfRule type="cellIs" dxfId="856" priority="849" operator="equal">
      <formula>"Muy Alta"</formula>
    </cfRule>
    <cfRule type="cellIs" dxfId="855" priority="850" operator="equal">
      <formula>"Alta"</formula>
    </cfRule>
    <cfRule type="cellIs" dxfId="854" priority="851" operator="equal">
      <formula>"Media"</formula>
    </cfRule>
    <cfRule type="cellIs" dxfId="853" priority="852" operator="equal">
      <formula>"Baja"</formula>
    </cfRule>
    <cfRule type="cellIs" dxfId="852" priority="853" operator="equal">
      <formula>"Muy Baja"</formula>
    </cfRule>
  </conditionalFormatting>
  <conditionalFormatting sqref="O115">
    <cfRule type="cellIs" dxfId="851" priority="844" operator="equal">
      <formula>"Catastrófico"</formula>
    </cfRule>
    <cfRule type="cellIs" dxfId="850" priority="845" operator="equal">
      <formula>"Mayor"</formula>
    </cfRule>
    <cfRule type="cellIs" dxfId="849" priority="846" operator="equal">
      <formula>"Moderado"</formula>
    </cfRule>
    <cfRule type="cellIs" dxfId="848" priority="847" operator="equal">
      <formula>"Menor"</formula>
    </cfRule>
    <cfRule type="cellIs" dxfId="847" priority="848" operator="equal">
      <formula>"Leve"</formula>
    </cfRule>
  </conditionalFormatting>
  <conditionalFormatting sqref="Q115">
    <cfRule type="cellIs" dxfId="846" priority="840" operator="equal">
      <formula>"Extremo"</formula>
    </cfRule>
    <cfRule type="cellIs" dxfId="845" priority="841" operator="equal">
      <formula>"Alto"</formula>
    </cfRule>
    <cfRule type="cellIs" dxfId="844" priority="842" operator="equal">
      <formula>"Moderado"</formula>
    </cfRule>
    <cfRule type="cellIs" dxfId="843" priority="843" operator="equal">
      <formula>"Bajo"</formula>
    </cfRule>
  </conditionalFormatting>
  <conditionalFormatting sqref="N115:N117">
    <cfRule type="containsText" dxfId="842" priority="839" operator="containsText" text="❌">
      <formula>NOT(ISERROR(SEARCH("❌",N115)))</formula>
    </cfRule>
  </conditionalFormatting>
  <conditionalFormatting sqref="AB118">
    <cfRule type="cellIs" dxfId="841" priority="834" operator="equal">
      <formula>"Muy Alta"</formula>
    </cfRule>
    <cfRule type="cellIs" dxfId="840" priority="835" operator="equal">
      <formula>"Alta"</formula>
    </cfRule>
    <cfRule type="cellIs" dxfId="839" priority="836" operator="equal">
      <formula>"Media"</formula>
    </cfRule>
    <cfRule type="cellIs" dxfId="838" priority="837" operator="equal">
      <formula>"Baja"</formula>
    </cfRule>
    <cfRule type="cellIs" dxfId="837" priority="838" operator="equal">
      <formula>"Muy Baja"</formula>
    </cfRule>
  </conditionalFormatting>
  <conditionalFormatting sqref="AD118">
    <cfRule type="cellIs" dxfId="836" priority="829" operator="equal">
      <formula>"Catastrófico"</formula>
    </cfRule>
    <cfRule type="cellIs" dxfId="835" priority="830" operator="equal">
      <formula>"Mayor"</formula>
    </cfRule>
    <cfRule type="cellIs" dxfId="834" priority="831" operator="equal">
      <formula>"Moderado"</formula>
    </cfRule>
    <cfRule type="cellIs" dxfId="833" priority="832" operator="equal">
      <formula>"Menor"</formula>
    </cfRule>
    <cfRule type="cellIs" dxfId="832" priority="833" operator="equal">
      <formula>"Leve"</formula>
    </cfRule>
  </conditionalFormatting>
  <conditionalFormatting sqref="AF118">
    <cfRule type="cellIs" dxfId="831" priority="825" operator="equal">
      <formula>"Extremo"</formula>
    </cfRule>
    <cfRule type="cellIs" dxfId="830" priority="826" operator="equal">
      <formula>"Alto"</formula>
    </cfRule>
    <cfRule type="cellIs" dxfId="829" priority="827" operator="equal">
      <formula>"Moderado"</formula>
    </cfRule>
    <cfRule type="cellIs" dxfId="828" priority="828" operator="equal">
      <formula>"Bajo"</formula>
    </cfRule>
  </conditionalFormatting>
  <conditionalFormatting sqref="AB119">
    <cfRule type="cellIs" dxfId="827" priority="820" operator="equal">
      <formula>"Muy Alta"</formula>
    </cfRule>
    <cfRule type="cellIs" dxfId="826" priority="821" operator="equal">
      <formula>"Alta"</formula>
    </cfRule>
    <cfRule type="cellIs" dxfId="825" priority="822" operator="equal">
      <formula>"Media"</formula>
    </cfRule>
    <cfRule type="cellIs" dxfId="824" priority="823" operator="equal">
      <formula>"Baja"</formula>
    </cfRule>
    <cfRule type="cellIs" dxfId="823" priority="824" operator="equal">
      <formula>"Muy Baja"</formula>
    </cfRule>
  </conditionalFormatting>
  <conditionalFormatting sqref="AD119">
    <cfRule type="cellIs" dxfId="822" priority="815" operator="equal">
      <formula>"Catastrófico"</formula>
    </cfRule>
    <cfRule type="cellIs" dxfId="821" priority="816" operator="equal">
      <formula>"Mayor"</formula>
    </cfRule>
    <cfRule type="cellIs" dxfId="820" priority="817" operator="equal">
      <formula>"Moderado"</formula>
    </cfRule>
    <cfRule type="cellIs" dxfId="819" priority="818" operator="equal">
      <formula>"Menor"</formula>
    </cfRule>
    <cfRule type="cellIs" dxfId="818" priority="819" operator="equal">
      <formula>"Leve"</formula>
    </cfRule>
  </conditionalFormatting>
  <conditionalFormatting sqref="AF119">
    <cfRule type="cellIs" dxfId="817" priority="811" operator="equal">
      <formula>"Extremo"</formula>
    </cfRule>
    <cfRule type="cellIs" dxfId="816" priority="812" operator="equal">
      <formula>"Alto"</formula>
    </cfRule>
    <cfRule type="cellIs" dxfId="815" priority="813" operator="equal">
      <formula>"Moderado"</formula>
    </cfRule>
    <cfRule type="cellIs" dxfId="814" priority="814" operator="equal">
      <formula>"Bajo"</formula>
    </cfRule>
  </conditionalFormatting>
  <conditionalFormatting sqref="AB120:AB123">
    <cfRule type="cellIs" dxfId="813" priority="806" operator="equal">
      <formula>"Muy Alta"</formula>
    </cfRule>
    <cfRule type="cellIs" dxfId="812" priority="807" operator="equal">
      <formula>"Alta"</formula>
    </cfRule>
    <cfRule type="cellIs" dxfId="811" priority="808" operator="equal">
      <formula>"Media"</formula>
    </cfRule>
    <cfRule type="cellIs" dxfId="810" priority="809" operator="equal">
      <formula>"Baja"</formula>
    </cfRule>
    <cfRule type="cellIs" dxfId="809" priority="810" operator="equal">
      <formula>"Muy Baja"</formula>
    </cfRule>
  </conditionalFormatting>
  <conditionalFormatting sqref="AD120:AD123">
    <cfRule type="cellIs" dxfId="808" priority="801" operator="equal">
      <formula>"Catastrófico"</formula>
    </cfRule>
    <cfRule type="cellIs" dxfId="807" priority="802" operator="equal">
      <formula>"Mayor"</formula>
    </cfRule>
    <cfRule type="cellIs" dxfId="806" priority="803" operator="equal">
      <formula>"Moderado"</formula>
    </cfRule>
    <cfRule type="cellIs" dxfId="805" priority="804" operator="equal">
      <formula>"Menor"</formula>
    </cfRule>
    <cfRule type="cellIs" dxfId="804" priority="805" operator="equal">
      <formula>"Leve"</formula>
    </cfRule>
  </conditionalFormatting>
  <conditionalFormatting sqref="AF120:AF123">
    <cfRule type="cellIs" dxfId="803" priority="797" operator="equal">
      <formula>"Extremo"</formula>
    </cfRule>
    <cfRule type="cellIs" dxfId="802" priority="798" operator="equal">
      <formula>"Alto"</formula>
    </cfRule>
    <cfRule type="cellIs" dxfId="801" priority="799" operator="equal">
      <formula>"Moderado"</formula>
    </cfRule>
    <cfRule type="cellIs" dxfId="800" priority="800" operator="equal">
      <formula>"Bajo"</formula>
    </cfRule>
  </conditionalFormatting>
  <conditionalFormatting sqref="K118">
    <cfRule type="cellIs" dxfId="799" priority="792" operator="equal">
      <formula>"Muy Alta"</formula>
    </cfRule>
    <cfRule type="cellIs" dxfId="798" priority="793" operator="equal">
      <formula>"Alta"</formula>
    </cfRule>
    <cfRule type="cellIs" dxfId="797" priority="794" operator="equal">
      <formula>"Media"</formula>
    </cfRule>
    <cfRule type="cellIs" dxfId="796" priority="795" operator="equal">
      <formula>"Baja"</formula>
    </cfRule>
    <cfRule type="cellIs" dxfId="795" priority="796" operator="equal">
      <formula>"Muy Baja"</formula>
    </cfRule>
  </conditionalFormatting>
  <conditionalFormatting sqref="O118">
    <cfRule type="cellIs" dxfId="794" priority="787" operator="equal">
      <formula>"Catastrófico"</formula>
    </cfRule>
    <cfRule type="cellIs" dxfId="793" priority="788" operator="equal">
      <formula>"Mayor"</formula>
    </cfRule>
    <cfRule type="cellIs" dxfId="792" priority="789" operator="equal">
      <formula>"Moderado"</formula>
    </cfRule>
    <cfRule type="cellIs" dxfId="791" priority="790" operator="equal">
      <formula>"Menor"</formula>
    </cfRule>
    <cfRule type="cellIs" dxfId="790" priority="791" operator="equal">
      <formula>"Leve"</formula>
    </cfRule>
  </conditionalFormatting>
  <conditionalFormatting sqref="Q118">
    <cfRule type="cellIs" dxfId="789" priority="783" operator="equal">
      <formula>"Extremo"</formula>
    </cfRule>
    <cfRule type="cellIs" dxfId="788" priority="784" operator="equal">
      <formula>"Alto"</formula>
    </cfRule>
    <cfRule type="cellIs" dxfId="787" priority="785" operator="equal">
      <formula>"Moderado"</formula>
    </cfRule>
    <cfRule type="cellIs" dxfId="786" priority="786" operator="equal">
      <formula>"Bajo"</formula>
    </cfRule>
  </conditionalFormatting>
  <conditionalFormatting sqref="N118:N123">
    <cfRule type="containsText" dxfId="785" priority="782" operator="containsText" text="❌">
      <formula>NOT(ISERROR(SEARCH("❌",N118)))</formula>
    </cfRule>
  </conditionalFormatting>
  <conditionalFormatting sqref="AB124">
    <cfRule type="cellIs" dxfId="784" priority="777" operator="equal">
      <formula>"Muy Alta"</formula>
    </cfRule>
    <cfRule type="cellIs" dxfId="783" priority="778" operator="equal">
      <formula>"Alta"</formula>
    </cfRule>
    <cfRule type="cellIs" dxfId="782" priority="779" operator="equal">
      <formula>"Media"</formula>
    </cfRule>
    <cfRule type="cellIs" dxfId="781" priority="780" operator="equal">
      <formula>"Baja"</formula>
    </cfRule>
    <cfRule type="cellIs" dxfId="780" priority="781" operator="equal">
      <formula>"Muy Baja"</formula>
    </cfRule>
  </conditionalFormatting>
  <conditionalFormatting sqref="AD124">
    <cfRule type="cellIs" dxfId="779" priority="772" operator="equal">
      <formula>"Catastrófico"</formula>
    </cfRule>
    <cfRule type="cellIs" dxfId="778" priority="773" operator="equal">
      <formula>"Mayor"</formula>
    </cfRule>
    <cfRule type="cellIs" dxfId="777" priority="774" operator="equal">
      <formula>"Moderado"</formula>
    </cfRule>
    <cfRule type="cellIs" dxfId="776" priority="775" operator="equal">
      <formula>"Menor"</formula>
    </cfRule>
    <cfRule type="cellIs" dxfId="775" priority="776" operator="equal">
      <formula>"Leve"</formula>
    </cfRule>
  </conditionalFormatting>
  <conditionalFormatting sqref="AF124">
    <cfRule type="cellIs" dxfId="774" priority="768" operator="equal">
      <formula>"Extremo"</formula>
    </cfRule>
    <cfRule type="cellIs" dxfId="773" priority="769" operator="equal">
      <formula>"Alto"</formula>
    </cfRule>
    <cfRule type="cellIs" dxfId="772" priority="770" operator="equal">
      <formula>"Moderado"</formula>
    </cfRule>
    <cfRule type="cellIs" dxfId="771" priority="771" operator="equal">
      <formula>"Bajo"</formula>
    </cfRule>
  </conditionalFormatting>
  <conditionalFormatting sqref="AB125">
    <cfRule type="cellIs" dxfId="770" priority="763" operator="equal">
      <formula>"Muy Alta"</formula>
    </cfRule>
    <cfRule type="cellIs" dxfId="769" priority="764" operator="equal">
      <formula>"Alta"</formula>
    </cfRule>
    <cfRule type="cellIs" dxfId="768" priority="765" operator="equal">
      <formula>"Media"</formula>
    </cfRule>
    <cfRule type="cellIs" dxfId="767" priority="766" operator="equal">
      <formula>"Baja"</formula>
    </cfRule>
    <cfRule type="cellIs" dxfId="766" priority="767" operator="equal">
      <formula>"Muy Baja"</formula>
    </cfRule>
  </conditionalFormatting>
  <conditionalFormatting sqref="AD125">
    <cfRule type="cellIs" dxfId="765" priority="758" operator="equal">
      <formula>"Catastrófico"</formula>
    </cfRule>
    <cfRule type="cellIs" dxfId="764" priority="759" operator="equal">
      <formula>"Mayor"</formula>
    </cfRule>
    <cfRule type="cellIs" dxfId="763" priority="760" operator="equal">
      <formula>"Moderado"</formula>
    </cfRule>
    <cfRule type="cellIs" dxfId="762" priority="761" operator="equal">
      <formula>"Menor"</formula>
    </cfRule>
    <cfRule type="cellIs" dxfId="761" priority="762" operator="equal">
      <formula>"Leve"</formula>
    </cfRule>
  </conditionalFormatting>
  <conditionalFormatting sqref="AF125">
    <cfRule type="cellIs" dxfId="760" priority="754" operator="equal">
      <formula>"Extremo"</formula>
    </cfRule>
    <cfRule type="cellIs" dxfId="759" priority="755" operator="equal">
      <formula>"Alto"</formula>
    </cfRule>
    <cfRule type="cellIs" dxfId="758" priority="756" operator="equal">
      <formula>"Moderado"</formula>
    </cfRule>
    <cfRule type="cellIs" dxfId="757" priority="757" operator="equal">
      <formula>"Bajo"</formula>
    </cfRule>
  </conditionalFormatting>
  <conditionalFormatting sqref="AB126">
    <cfRule type="cellIs" dxfId="756" priority="749" operator="equal">
      <formula>"Muy Alta"</formula>
    </cfRule>
    <cfRule type="cellIs" dxfId="755" priority="750" operator="equal">
      <formula>"Alta"</formula>
    </cfRule>
    <cfRule type="cellIs" dxfId="754" priority="751" operator="equal">
      <formula>"Media"</formula>
    </cfRule>
    <cfRule type="cellIs" dxfId="753" priority="752" operator="equal">
      <formula>"Baja"</formula>
    </cfRule>
    <cfRule type="cellIs" dxfId="752" priority="753" operator="equal">
      <formula>"Muy Baja"</formula>
    </cfRule>
  </conditionalFormatting>
  <conditionalFormatting sqref="AD126">
    <cfRule type="cellIs" dxfId="751" priority="744" operator="equal">
      <formula>"Catastrófico"</formula>
    </cfRule>
    <cfRule type="cellIs" dxfId="750" priority="745" operator="equal">
      <formula>"Mayor"</formula>
    </cfRule>
    <cfRule type="cellIs" dxfId="749" priority="746" operator="equal">
      <formula>"Moderado"</formula>
    </cfRule>
    <cfRule type="cellIs" dxfId="748" priority="747" operator="equal">
      <formula>"Menor"</formula>
    </cfRule>
    <cfRule type="cellIs" dxfId="747" priority="748" operator="equal">
      <formula>"Leve"</formula>
    </cfRule>
  </conditionalFormatting>
  <conditionalFormatting sqref="AF126">
    <cfRule type="cellIs" dxfId="746" priority="740" operator="equal">
      <formula>"Extremo"</formula>
    </cfRule>
    <cfRule type="cellIs" dxfId="745" priority="741" operator="equal">
      <formula>"Alto"</formula>
    </cfRule>
    <cfRule type="cellIs" dxfId="744" priority="742" operator="equal">
      <formula>"Moderado"</formula>
    </cfRule>
    <cfRule type="cellIs" dxfId="743" priority="743" operator="equal">
      <formula>"Bajo"</formula>
    </cfRule>
  </conditionalFormatting>
  <conditionalFormatting sqref="K124">
    <cfRule type="cellIs" dxfId="742" priority="735" operator="equal">
      <formula>"Muy Alta"</formula>
    </cfRule>
    <cfRule type="cellIs" dxfId="741" priority="736" operator="equal">
      <formula>"Alta"</formula>
    </cfRule>
    <cfRule type="cellIs" dxfId="740" priority="737" operator="equal">
      <formula>"Media"</formula>
    </cfRule>
    <cfRule type="cellIs" dxfId="739" priority="738" operator="equal">
      <formula>"Baja"</formula>
    </cfRule>
    <cfRule type="cellIs" dxfId="738" priority="739" operator="equal">
      <formula>"Muy Baja"</formula>
    </cfRule>
  </conditionalFormatting>
  <conditionalFormatting sqref="O124">
    <cfRule type="cellIs" dxfId="737" priority="730" operator="equal">
      <formula>"Catastrófico"</formula>
    </cfRule>
    <cfRule type="cellIs" dxfId="736" priority="731" operator="equal">
      <formula>"Mayor"</formula>
    </cfRule>
    <cfRule type="cellIs" dxfId="735" priority="732" operator="equal">
      <formula>"Moderado"</formula>
    </cfRule>
    <cfRule type="cellIs" dxfId="734" priority="733" operator="equal">
      <formula>"Menor"</formula>
    </cfRule>
    <cfRule type="cellIs" dxfId="733" priority="734" operator="equal">
      <formula>"Leve"</formula>
    </cfRule>
  </conditionalFormatting>
  <conditionalFormatting sqref="Q124">
    <cfRule type="cellIs" dxfId="732" priority="726" operator="equal">
      <formula>"Extremo"</formula>
    </cfRule>
    <cfRule type="cellIs" dxfId="731" priority="727" operator="equal">
      <formula>"Alto"</formula>
    </cfRule>
    <cfRule type="cellIs" dxfId="730" priority="728" operator="equal">
      <formula>"Moderado"</formula>
    </cfRule>
    <cfRule type="cellIs" dxfId="729" priority="729" operator="equal">
      <formula>"Bajo"</formula>
    </cfRule>
  </conditionalFormatting>
  <conditionalFormatting sqref="N124:N126">
    <cfRule type="containsText" dxfId="728" priority="725" operator="containsText" text="❌">
      <formula>NOT(ISERROR(SEARCH("❌",N124)))</formula>
    </cfRule>
  </conditionalFormatting>
  <conditionalFormatting sqref="AB124:AB126">
    <cfRule type="cellIs" dxfId="727" priority="720" operator="equal">
      <formula>"Muy Alta"</formula>
    </cfRule>
    <cfRule type="cellIs" dxfId="726" priority="721" operator="equal">
      <formula>"Alta"</formula>
    </cfRule>
    <cfRule type="cellIs" dxfId="725" priority="722" operator="equal">
      <formula>"Media"</formula>
    </cfRule>
    <cfRule type="cellIs" dxfId="724" priority="723" operator="equal">
      <formula>"Baja"</formula>
    </cfRule>
    <cfRule type="cellIs" dxfId="723" priority="724" operator="equal">
      <formula>"Muy Baja"</formula>
    </cfRule>
  </conditionalFormatting>
  <conditionalFormatting sqref="AD124:AD126">
    <cfRule type="cellIs" dxfId="722" priority="715" operator="equal">
      <formula>"Catastrófico"</formula>
    </cfRule>
    <cfRule type="cellIs" dxfId="721" priority="716" operator="equal">
      <formula>"Mayor"</formula>
    </cfRule>
    <cfRule type="cellIs" dxfId="720" priority="717" operator="equal">
      <formula>"Moderado"</formula>
    </cfRule>
    <cfRule type="cellIs" dxfId="719" priority="718" operator="equal">
      <formula>"Menor"</formula>
    </cfRule>
    <cfRule type="cellIs" dxfId="718" priority="719" operator="equal">
      <formula>"Leve"</formula>
    </cfRule>
  </conditionalFormatting>
  <conditionalFormatting sqref="AF124:AF126">
    <cfRule type="cellIs" dxfId="717" priority="711" operator="equal">
      <formula>"Extremo"</formula>
    </cfRule>
    <cfRule type="cellIs" dxfId="716" priority="712" operator="equal">
      <formula>"Alto"</formula>
    </cfRule>
    <cfRule type="cellIs" dxfId="715" priority="713" operator="equal">
      <formula>"Moderado"</formula>
    </cfRule>
    <cfRule type="cellIs" dxfId="714" priority="714" operator="equal">
      <formula>"Bajo"</formula>
    </cfRule>
  </conditionalFormatting>
  <conditionalFormatting sqref="N124:N126">
    <cfRule type="containsText" dxfId="713" priority="710" operator="containsText" text="❌">
      <formula>NOT(ISERROR(SEARCH("❌",N124)))</formula>
    </cfRule>
  </conditionalFormatting>
  <conditionalFormatting sqref="AB127">
    <cfRule type="cellIs" dxfId="712" priority="705" operator="equal">
      <formula>"Muy Alta"</formula>
    </cfRule>
    <cfRule type="cellIs" dxfId="711" priority="706" operator="equal">
      <formula>"Alta"</formula>
    </cfRule>
    <cfRule type="cellIs" dxfId="710" priority="707" operator="equal">
      <formula>"Media"</formula>
    </cfRule>
    <cfRule type="cellIs" dxfId="709" priority="708" operator="equal">
      <formula>"Baja"</formula>
    </cfRule>
    <cfRule type="cellIs" dxfId="708" priority="709" operator="equal">
      <formula>"Muy Baja"</formula>
    </cfRule>
  </conditionalFormatting>
  <conditionalFormatting sqref="AD127">
    <cfRule type="cellIs" dxfId="707" priority="700" operator="equal">
      <formula>"Catastrófico"</formula>
    </cfRule>
    <cfRule type="cellIs" dxfId="706" priority="701" operator="equal">
      <formula>"Mayor"</formula>
    </cfRule>
    <cfRule type="cellIs" dxfId="705" priority="702" operator="equal">
      <formula>"Moderado"</formula>
    </cfRule>
    <cfRule type="cellIs" dxfId="704" priority="703" operator="equal">
      <formula>"Menor"</formula>
    </cfRule>
    <cfRule type="cellIs" dxfId="703" priority="704" operator="equal">
      <formula>"Leve"</formula>
    </cfRule>
  </conditionalFormatting>
  <conditionalFormatting sqref="AF127">
    <cfRule type="cellIs" dxfId="702" priority="696" operator="equal">
      <formula>"Extremo"</formula>
    </cfRule>
    <cfRule type="cellIs" dxfId="701" priority="697" operator="equal">
      <formula>"Alto"</formula>
    </cfRule>
    <cfRule type="cellIs" dxfId="700" priority="698" operator="equal">
      <formula>"Moderado"</formula>
    </cfRule>
    <cfRule type="cellIs" dxfId="699" priority="699" operator="equal">
      <formula>"Bajo"</formula>
    </cfRule>
  </conditionalFormatting>
  <conditionalFormatting sqref="AB128">
    <cfRule type="cellIs" dxfId="698" priority="691" operator="equal">
      <formula>"Muy Alta"</formula>
    </cfRule>
    <cfRule type="cellIs" dxfId="697" priority="692" operator="equal">
      <formula>"Alta"</formula>
    </cfRule>
    <cfRule type="cellIs" dxfId="696" priority="693" operator="equal">
      <formula>"Media"</formula>
    </cfRule>
    <cfRule type="cellIs" dxfId="695" priority="694" operator="equal">
      <formula>"Baja"</formula>
    </cfRule>
    <cfRule type="cellIs" dxfId="694" priority="695" operator="equal">
      <formula>"Muy Baja"</formula>
    </cfRule>
  </conditionalFormatting>
  <conditionalFormatting sqref="AD128">
    <cfRule type="cellIs" dxfId="693" priority="686" operator="equal">
      <formula>"Catastrófico"</formula>
    </cfRule>
    <cfRule type="cellIs" dxfId="692" priority="687" operator="equal">
      <formula>"Mayor"</formula>
    </cfRule>
    <cfRule type="cellIs" dxfId="691" priority="688" operator="equal">
      <formula>"Moderado"</formula>
    </cfRule>
    <cfRule type="cellIs" dxfId="690" priority="689" operator="equal">
      <formula>"Menor"</formula>
    </cfRule>
    <cfRule type="cellIs" dxfId="689" priority="690" operator="equal">
      <formula>"Leve"</formula>
    </cfRule>
  </conditionalFormatting>
  <conditionalFormatting sqref="AF128">
    <cfRule type="cellIs" dxfId="688" priority="682" operator="equal">
      <formula>"Extremo"</formula>
    </cfRule>
    <cfRule type="cellIs" dxfId="687" priority="683" operator="equal">
      <formula>"Alto"</formula>
    </cfRule>
    <cfRule type="cellIs" dxfId="686" priority="684" operator="equal">
      <formula>"Moderado"</formula>
    </cfRule>
    <cfRule type="cellIs" dxfId="685" priority="685" operator="equal">
      <formula>"Bajo"</formula>
    </cfRule>
  </conditionalFormatting>
  <conditionalFormatting sqref="AB129">
    <cfRule type="cellIs" dxfId="684" priority="677" operator="equal">
      <formula>"Muy Alta"</formula>
    </cfRule>
    <cfRule type="cellIs" dxfId="683" priority="678" operator="equal">
      <formula>"Alta"</formula>
    </cfRule>
    <cfRule type="cellIs" dxfId="682" priority="679" operator="equal">
      <formula>"Media"</formula>
    </cfRule>
    <cfRule type="cellIs" dxfId="681" priority="680" operator="equal">
      <formula>"Baja"</formula>
    </cfRule>
    <cfRule type="cellIs" dxfId="680" priority="681" operator="equal">
      <formula>"Muy Baja"</formula>
    </cfRule>
  </conditionalFormatting>
  <conditionalFormatting sqref="AD129">
    <cfRule type="cellIs" dxfId="679" priority="672" operator="equal">
      <formula>"Catastrófico"</formula>
    </cfRule>
    <cfRule type="cellIs" dxfId="678" priority="673" operator="equal">
      <formula>"Mayor"</formula>
    </cfRule>
    <cfRule type="cellIs" dxfId="677" priority="674" operator="equal">
      <formula>"Moderado"</formula>
    </cfRule>
    <cfRule type="cellIs" dxfId="676" priority="675" operator="equal">
      <formula>"Menor"</formula>
    </cfRule>
    <cfRule type="cellIs" dxfId="675" priority="676" operator="equal">
      <formula>"Leve"</formula>
    </cfRule>
  </conditionalFormatting>
  <conditionalFormatting sqref="AF129">
    <cfRule type="cellIs" dxfId="674" priority="668" operator="equal">
      <formula>"Extremo"</formula>
    </cfRule>
    <cfRule type="cellIs" dxfId="673" priority="669" operator="equal">
      <formula>"Alto"</formula>
    </cfRule>
    <cfRule type="cellIs" dxfId="672" priority="670" operator="equal">
      <formula>"Moderado"</formula>
    </cfRule>
    <cfRule type="cellIs" dxfId="671" priority="671" operator="equal">
      <formula>"Bajo"</formula>
    </cfRule>
  </conditionalFormatting>
  <conditionalFormatting sqref="K127">
    <cfRule type="cellIs" dxfId="670" priority="663" operator="equal">
      <formula>"Muy Alta"</formula>
    </cfRule>
    <cfRule type="cellIs" dxfId="669" priority="664" operator="equal">
      <formula>"Alta"</formula>
    </cfRule>
    <cfRule type="cellIs" dxfId="668" priority="665" operator="equal">
      <formula>"Media"</formula>
    </cfRule>
    <cfRule type="cellIs" dxfId="667" priority="666" operator="equal">
      <formula>"Baja"</formula>
    </cfRule>
    <cfRule type="cellIs" dxfId="666" priority="667" operator="equal">
      <formula>"Muy Baja"</formula>
    </cfRule>
  </conditionalFormatting>
  <conditionalFormatting sqref="O127">
    <cfRule type="cellIs" dxfId="665" priority="658" operator="equal">
      <formula>"Catastrófico"</formula>
    </cfRule>
    <cfRule type="cellIs" dxfId="664" priority="659" operator="equal">
      <formula>"Mayor"</formula>
    </cfRule>
    <cfRule type="cellIs" dxfId="663" priority="660" operator="equal">
      <formula>"Moderado"</formula>
    </cfRule>
    <cfRule type="cellIs" dxfId="662" priority="661" operator="equal">
      <formula>"Menor"</formula>
    </cfRule>
    <cfRule type="cellIs" dxfId="661" priority="662" operator="equal">
      <formula>"Leve"</formula>
    </cfRule>
  </conditionalFormatting>
  <conditionalFormatting sqref="Q127">
    <cfRule type="cellIs" dxfId="660" priority="654" operator="equal">
      <formula>"Extremo"</formula>
    </cfRule>
    <cfRule type="cellIs" dxfId="659" priority="655" operator="equal">
      <formula>"Alto"</formula>
    </cfRule>
    <cfRule type="cellIs" dxfId="658" priority="656" operator="equal">
      <formula>"Moderado"</formula>
    </cfRule>
    <cfRule type="cellIs" dxfId="657" priority="657" operator="equal">
      <formula>"Bajo"</formula>
    </cfRule>
  </conditionalFormatting>
  <conditionalFormatting sqref="N127:N129">
    <cfRule type="containsText" dxfId="656" priority="653" operator="containsText" text="❌">
      <formula>NOT(ISERROR(SEARCH("❌",N127)))</formula>
    </cfRule>
  </conditionalFormatting>
  <conditionalFormatting sqref="AB127:AB129">
    <cfRule type="cellIs" dxfId="655" priority="648" operator="equal">
      <formula>"Muy Alta"</formula>
    </cfRule>
    <cfRule type="cellIs" dxfId="654" priority="649" operator="equal">
      <formula>"Alta"</formula>
    </cfRule>
    <cfRule type="cellIs" dxfId="653" priority="650" operator="equal">
      <formula>"Media"</formula>
    </cfRule>
    <cfRule type="cellIs" dxfId="652" priority="651" operator="equal">
      <formula>"Baja"</formula>
    </cfRule>
    <cfRule type="cellIs" dxfId="651" priority="652" operator="equal">
      <formula>"Muy Baja"</formula>
    </cfRule>
  </conditionalFormatting>
  <conditionalFormatting sqref="AD127:AD129">
    <cfRule type="cellIs" dxfId="650" priority="643" operator="equal">
      <formula>"Catastrófico"</formula>
    </cfRule>
    <cfRule type="cellIs" dxfId="649" priority="644" operator="equal">
      <formula>"Mayor"</formula>
    </cfRule>
    <cfRule type="cellIs" dxfId="648" priority="645" operator="equal">
      <formula>"Moderado"</formula>
    </cfRule>
    <cfRule type="cellIs" dxfId="647" priority="646" operator="equal">
      <formula>"Menor"</formula>
    </cfRule>
    <cfRule type="cellIs" dxfId="646" priority="647" operator="equal">
      <formula>"Leve"</formula>
    </cfRule>
  </conditionalFormatting>
  <conditionalFormatting sqref="AF127:AF129">
    <cfRule type="cellIs" dxfId="645" priority="639" operator="equal">
      <formula>"Extremo"</formula>
    </cfRule>
    <cfRule type="cellIs" dxfId="644" priority="640" operator="equal">
      <formula>"Alto"</formula>
    </cfRule>
    <cfRule type="cellIs" dxfId="643" priority="641" operator="equal">
      <formula>"Moderado"</formula>
    </cfRule>
    <cfRule type="cellIs" dxfId="642" priority="642" operator="equal">
      <formula>"Bajo"</formula>
    </cfRule>
  </conditionalFormatting>
  <conditionalFormatting sqref="N127:N129">
    <cfRule type="containsText" dxfId="641" priority="638" operator="containsText" text="❌">
      <formula>NOT(ISERROR(SEARCH("❌",N127)))</formula>
    </cfRule>
  </conditionalFormatting>
  <conditionalFormatting sqref="AB130">
    <cfRule type="cellIs" dxfId="640" priority="633" operator="equal">
      <formula>"Muy Alta"</formula>
    </cfRule>
    <cfRule type="cellIs" dxfId="639" priority="634" operator="equal">
      <formula>"Alta"</formula>
    </cfRule>
    <cfRule type="cellIs" dxfId="638" priority="635" operator="equal">
      <formula>"Media"</formula>
    </cfRule>
    <cfRule type="cellIs" dxfId="637" priority="636" operator="equal">
      <formula>"Baja"</formula>
    </cfRule>
    <cfRule type="cellIs" dxfId="636" priority="637" operator="equal">
      <formula>"Muy Baja"</formula>
    </cfRule>
  </conditionalFormatting>
  <conditionalFormatting sqref="AD130">
    <cfRule type="cellIs" dxfId="635" priority="628" operator="equal">
      <formula>"Catastrófico"</formula>
    </cfRule>
    <cfRule type="cellIs" dxfId="634" priority="629" operator="equal">
      <formula>"Mayor"</formula>
    </cfRule>
    <cfRule type="cellIs" dxfId="633" priority="630" operator="equal">
      <formula>"Moderado"</formula>
    </cfRule>
    <cfRule type="cellIs" dxfId="632" priority="631" operator="equal">
      <formula>"Menor"</formula>
    </cfRule>
    <cfRule type="cellIs" dxfId="631" priority="632" operator="equal">
      <formula>"Leve"</formula>
    </cfRule>
  </conditionalFormatting>
  <conditionalFormatting sqref="AF130">
    <cfRule type="cellIs" dxfId="630" priority="624" operator="equal">
      <formula>"Extremo"</formula>
    </cfRule>
    <cfRule type="cellIs" dxfId="629" priority="625" operator="equal">
      <formula>"Alto"</formula>
    </cfRule>
    <cfRule type="cellIs" dxfId="628" priority="626" operator="equal">
      <formula>"Moderado"</formula>
    </cfRule>
    <cfRule type="cellIs" dxfId="627" priority="627" operator="equal">
      <formula>"Bajo"</formula>
    </cfRule>
  </conditionalFormatting>
  <conditionalFormatting sqref="AB131">
    <cfRule type="cellIs" dxfId="626" priority="619" operator="equal">
      <formula>"Muy Alta"</formula>
    </cfRule>
    <cfRule type="cellIs" dxfId="625" priority="620" operator="equal">
      <formula>"Alta"</formula>
    </cfRule>
    <cfRule type="cellIs" dxfId="624" priority="621" operator="equal">
      <formula>"Media"</formula>
    </cfRule>
    <cfRule type="cellIs" dxfId="623" priority="622" operator="equal">
      <formula>"Baja"</formula>
    </cfRule>
    <cfRule type="cellIs" dxfId="622" priority="623" operator="equal">
      <formula>"Muy Baja"</formula>
    </cfRule>
  </conditionalFormatting>
  <conditionalFormatting sqref="AD131">
    <cfRule type="cellIs" dxfId="621" priority="614" operator="equal">
      <formula>"Catastrófico"</formula>
    </cfRule>
    <cfRule type="cellIs" dxfId="620" priority="615" operator="equal">
      <formula>"Mayor"</formula>
    </cfRule>
    <cfRule type="cellIs" dxfId="619" priority="616" operator="equal">
      <formula>"Moderado"</formula>
    </cfRule>
    <cfRule type="cellIs" dxfId="618" priority="617" operator="equal">
      <formula>"Menor"</formula>
    </cfRule>
    <cfRule type="cellIs" dxfId="617" priority="618" operator="equal">
      <formula>"Leve"</formula>
    </cfRule>
  </conditionalFormatting>
  <conditionalFormatting sqref="AF131">
    <cfRule type="cellIs" dxfId="616" priority="610" operator="equal">
      <formula>"Extremo"</formula>
    </cfRule>
    <cfRule type="cellIs" dxfId="615" priority="611" operator="equal">
      <formula>"Alto"</formula>
    </cfRule>
    <cfRule type="cellIs" dxfId="614" priority="612" operator="equal">
      <formula>"Moderado"</formula>
    </cfRule>
    <cfRule type="cellIs" dxfId="613" priority="613" operator="equal">
      <formula>"Bajo"</formula>
    </cfRule>
  </conditionalFormatting>
  <conditionalFormatting sqref="AB132">
    <cfRule type="cellIs" dxfId="612" priority="605" operator="equal">
      <formula>"Muy Alta"</formula>
    </cfRule>
    <cfRule type="cellIs" dxfId="611" priority="606" operator="equal">
      <formula>"Alta"</formula>
    </cfRule>
    <cfRule type="cellIs" dxfId="610" priority="607" operator="equal">
      <formula>"Media"</formula>
    </cfRule>
    <cfRule type="cellIs" dxfId="609" priority="608" operator="equal">
      <formula>"Baja"</formula>
    </cfRule>
    <cfRule type="cellIs" dxfId="608" priority="609" operator="equal">
      <formula>"Muy Baja"</formula>
    </cfRule>
  </conditionalFormatting>
  <conditionalFormatting sqref="AD132">
    <cfRule type="cellIs" dxfId="607" priority="600" operator="equal">
      <formula>"Catastrófico"</formula>
    </cfRule>
    <cfRule type="cellIs" dxfId="606" priority="601" operator="equal">
      <formula>"Mayor"</formula>
    </cfRule>
    <cfRule type="cellIs" dxfId="605" priority="602" operator="equal">
      <formula>"Moderado"</formula>
    </cfRule>
    <cfRule type="cellIs" dxfId="604" priority="603" operator="equal">
      <formula>"Menor"</formula>
    </cfRule>
    <cfRule type="cellIs" dxfId="603" priority="604" operator="equal">
      <formula>"Leve"</formula>
    </cfRule>
  </conditionalFormatting>
  <conditionalFormatting sqref="AF132">
    <cfRule type="cellIs" dxfId="602" priority="596" operator="equal">
      <formula>"Extremo"</formula>
    </cfRule>
    <cfRule type="cellIs" dxfId="601" priority="597" operator="equal">
      <formula>"Alto"</formula>
    </cfRule>
    <cfRule type="cellIs" dxfId="600" priority="598" operator="equal">
      <formula>"Moderado"</formula>
    </cfRule>
    <cfRule type="cellIs" dxfId="599" priority="599" operator="equal">
      <formula>"Bajo"</formula>
    </cfRule>
  </conditionalFormatting>
  <conditionalFormatting sqref="K130">
    <cfRule type="cellIs" dxfId="598" priority="591" operator="equal">
      <formula>"Muy Alta"</formula>
    </cfRule>
    <cfRule type="cellIs" dxfId="597" priority="592" operator="equal">
      <formula>"Alta"</formula>
    </cfRule>
    <cfRule type="cellIs" dxfId="596" priority="593" operator="equal">
      <formula>"Media"</formula>
    </cfRule>
    <cfRule type="cellIs" dxfId="595" priority="594" operator="equal">
      <formula>"Baja"</formula>
    </cfRule>
    <cfRule type="cellIs" dxfId="594" priority="595" operator="equal">
      <formula>"Muy Baja"</formula>
    </cfRule>
  </conditionalFormatting>
  <conditionalFormatting sqref="O130">
    <cfRule type="cellIs" dxfId="593" priority="586" operator="equal">
      <formula>"Catastrófico"</formula>
    </cfRule>
    <cfRule type="cellIs" dxfId="592" priority="587" operator="equal">
      <formula>"Mayor"</formula>
    </cfRule>
    <cfRule type="cellIs" dxfId="591" priority="588" operator="equal">
      <formula>"Moderado"</formula>
    </cfRule>
    <cfRule type="cellIs" dxfId="590" priority="589" operator="equal">
      <formula>"Menor"</formula>
    </cfRule>
    <cfRule type="cellIs" dxfId="589" priority="590" operator="equal">
      <formula>"Leve"</formula>
    </cfRule>
  </conditionalFormatting>
  <conditionalFormatting sqref="Q130">
    <cfRule type="cellIs" dxfId="588" priority="582" operator="equal">
      <formula>"Extremo"</formula>
    </cfRule>
    <cfRule type="cellIs" dxfId="587" priority="583" operator="equal">
      <formula>"Alto"</formula>
    </cfRule>
    <cfRule type="cellIs" dxfId="586" priority="584" operator="equal">
      <formula>"Moderado"</formula>
    </cfRule>
    <cfRule type="cellIs" dxfId="585" priority="585" operator="equal">
      <formula>"Bajo"</formula>
    </cfRule>
  </conditionalFormatting>
  <conditionalFormatting sqref="N130:N132">
    <cfRule type="containsText" dxfId="584" priority="581" operator="containsText" text="❌">
      <formula>NOT(ISERROR(SEARCH("❌",N130)))</formula>
    </cfRule>
  </conditionalFormatting>
  <conditionalFormatting sqref="AB130:AB132">
    <cfRule type="cellIs" dxfId="583" priority="576" operator="equal">
      <formula>"Muy Alta"</formula>
    </cfRule>
    <cfRule type="cellIs" dxfId="582" priority="577" operator="equal">
      <formula>"Alta"</formula>
    </cfRule>
    <cfRule type="cellIs" dxfId="581" priority="578" operator="equal">
      <formula>"Media"</formula>
    </cfRule>
    <cfRule type="cellIs" dxfId="580" priority="579" operator="equal">
      <formula>"Baja"</formula>
    </cfRule>
    <cfRule type="cellIs" dxfId="579" priority="580" operator="equal">
      <formula>"Muy Baja"</formula>
    </cfRule>
  </conditionalFormatting>
  <conditionalFormatting sqref="AD130:AD132">
    <cfRule type="cellIs" dxfId="578" priority="571" operator="equal">
      <formula>"Catastrófico"</formula>
    </cfRule>
    <cfRule type="cellIs" dxfId="577" priority="572" operator="equal">
      <formula>"Mayor"</formula>
    </cfRule>
    <cfRule type="cellIs" dxfId="576" priority="573" operator="equal">
      <formula>"Moderado"</formula>
    </cfRule>
    <cfRule type="cellIs" dxfId="575" priority="574" operator="equal">
      <formula>"Menor"</formula>
    </cfRule>
    <cfRule type="cellIs" dxfId="574" priority="575" operator="equal">
      <formula>"Leve"</formula>
    </cfRule>
  </conditionalFormatting>
  <conditionalFormatting sqref="AF130:AF132">
    <cfRule type="cellIs" dxfId="573" priority="567" operator="equal">
      <formula>"Extremo"</formula>
    </cfRule>
    <cfRule type="cellIs" dxfId="572" priority="568" operator="equal">
      <formula>"Alto"</formula>
    </cfRule>
    <cfRule type="cellIs" dxfId="571" priority="569" operator="equal">
      <formula>"Moderado"</formula>
    </cfRule>
    <cfRule type="cellIs" dxfId="570" priority="570" operator="equal">
      <formula>"Bajo"</formula>
    </cfRule>
  </conditionalFormatting>
  <conditionalFormatting sqref="N130:N132">
    <cfRule type="containsText" dxfId="569" priority="566" operator="containsText" text="❌">
      <formula>NOT(ISERROR(SEARCH("❌",N130)))</formula>
    </cfRule>
  </conditionalFormatting>
  <conditionalFormatting sqref="AB133">
    <cfRule type="cellIs" dxfId="568" priority="561" operator="equal">
      <formula>"Muy Alta"</formula>
    </cfRule>
    <cfRule type="cellIs" dxfId="567" priority="562" operator="equal">
      <formula>"Alta"</formula>
    </cfRule>
    <cfRule type="cellIs" dxfId="566" priority="563" operator="equal">
      <formula>"Media"</formula>
    </cfRule>
    <cfRule type="cellIs" dxfId="565" priority="564" operator="equal">
      <formula>"Baja"</formula>
    </cfRule>
    <cfRule type="cellIs" dxfId="564" priority="565" operator="equal">
      <formula>"Muy Baja"</formula>
    </cfRule>
  </conditionalFormatting>
  <conditionalFormatting sqref="AD133">
    <cfRule type="cellIs" dxfId="563" priority="556" operator="equal">
      <formula>"Catastrófico"</formula>
    </cfRule>
    <cfRule type="cellIs" dxfId="562" priority="557" operator="equal">
      <formula>"Mayor"</formula>
    </cfRule>
    <cfRule type="cellIs" dxfId="561" priority="558" operator="equal">
      <formula>"Moderado"</formula>
    </cfRule>
    <cfRule type="cellIs" dxfId="560" priority="559" operator="equal">
      <formula>"Menor"</formula>
    </cfRule>
    <cfRule type="cellIs" dxfId="559" priority="560" operator="equal">
      <formula>"Leve"</formula>
    </cfRule>
  </conditionalFormatting>
  <conditionalFormatting sqref="AF133">
    <cfRule type="cellIs" dxfId="558" priority="552" operator="equal">
      <formula>"Extremo"</formula>
    </cfRule>
    <cfRule type="cellIs" dxfId="557" priority="553" operator="equal">
      <formula>"Alto"</formula>
    </cfRule>
    <cfRule type="cellIs" dxfId="556" priority="554" operator="equal">
      <formula>"Moderado"</formula>
    </cfRule>
    <cfRule type="cellIs" dxfId="555" priority="555" operator="equal">
      <formula>"Bajo"</formula>
    </cfRule>
  </conditionalFormatting>
  <conditionalFormatting sqref="AB134">
    <cfRule type="cellIs" dxfId="554" priority="547" operator="equal">
      <formula>"Muy Alta"</formula>
    </cfRule>
    <cfRule type="cellIs" dxfId="553" priority="548" operator="equal">
      <formula>"Alta"</formula>
    </cfRule>
    <cfRule type="cellIs" dxfId="552" priority="549" operator="equal">
      <formula>"Media"</formula>
    </cfRule>
    <cfRule type="cellIs" dxfId="551" priority="550" operator="equal">
      <formula>"Baja"</formula>
    </cfRule>
    <cfRule type="cellIs" dxfId="550" priority="551" operator="equal">
      <formula>"Muy Baja"</formula>
    </cfRule>
  </conditionalFormatting>
  <conditionalFormatting sqref="AD134">
    <cfRule type="cellIs" dxfId="549" priority="542" operator="equal">
      <formula>"Catastrófico"</formula>
    </cfRule>
    <cfRule type="cellIs" dxfId="548" priority="543" operator="equal">
      <formula>"Mayor"</formula>
    </cfRule>
    <cfRule type="cellIs" dxfId="547" priority="544" operator="equal">
      <formula>"Moderado"</formula>
    </cfRule>
    <cfRule type="cellIs" dxfId="546" priority="545" operator="equal">
      <formula>"Menor"</formula>
    </cfRule>
    <cfRule type="cellIs" dxfId="545" priority="546" operator="equal">
      <formula>"Leve"</formula>
    </cfRule>
  </conditionalFormatting>
  <conditionalFormatting sqref="AF134">
    <cfRule type="cellIs" dxfId="544" priority="538" operator="equal">
      <formula>"Extremo"</formula>
    </cfRule>
    <cfRule type="cellIs" dxfId="543" priority="539" operator="equal">
      <formula>"Alto"</formula>
    </cfRule>
    <cfRule type="cellIs" dxfId="542" priority="540" operator="equal">
      <formula>"Moderado"</formula>
    </cfRule>
    <cfRule type="cellIs" dxfId="541" priority="541" operator="equal">
      <formula>"Bajo"</formula>
    </cfRule>
  </conditionalFormatting>
  <conditionalFormatting sqref="AB135">
    <cfRule type="cellIs" dxfId="540" priority="533" operator="equal">
      <formula>"Muy Alta"</formula>
    </cfRule>
    <cfRule type="cellIs" dxfId="539" priority="534" operator="equal">
      <formula>"Alta"</formula>
    </cfRule>
    <cfRule type="cellIs" dxfId="538" priority="535" operator="equal">
      <formula>"Media"</formula>
    </cfRule>
    <cfRule type="cellIs" dxfId="537" priority="536" operator="equal">
      <formula>"Baja"</formula>
    </cfRule>
    <cfRule type="cellIs" dxfId="536" priority="537" operator="equal">
      <formula>"Muy Baja"</formula>
    </cfRule>
  </conditionalFormatting>
  <conditionalFormatting sqref="AD135">
    <cfRule type="cellIs" dxfId="535" priority="528" operator="equal">
      <formula>"Catastrófico"</formula>
    </cfRule>
    <cfRule type="cellIs" dxfId="534" priority="529" operator="equal">
      <formula>"Mayor"</formula>
    </cfRule>
    <cfRule type="cellIs" dxfId="533" priority="530" operator="equal">
      <formula>"Moderado"</formula>
    </cfRule>
    <cfRule type="cellIs" dxfId="532" priority="531" operator="equal">
      <formula>"Menor"</formula>
    </cfRule>
    <cfRule type="cellIs" dxfId="531" priority="532" operator="equal">
      <formula>"Leve"</formula>
    </cfRule>
  </conditionalFormatting>
  <conditionalFormatting sqref="AF135">
    <cfRule type="cellIs" dxfId="530" priority="524" operator="equal">
      <formula>"Extremo"</formula>
    </cfRule>
    <cfRule type="cellIs" dxfId="529" priority="525" operator="equal">
      <formula>"Alto"</formula>
    </cfRule>
    <cfRule type="cellIs" dxfId="528" priority="526" operator="equal">
      <formula>"Moderado"</formula>
    </cfRule>
    <cfRule type="cellIs" dxfId="527" priority="527" operator="equal">
      <formula>"Bajo"</formula>
    </cfRule>
  </conditionalFormatting>
  <conditionalFormatting sqref="K133">
    <cfRule type="cellIs" dxfId="526" priority="519" operator="equal">
      <formula>"Muy Alta"</formula>
    </cfRule>
    <cfRule type="cellIs" dxfId="525" priority="520" operator="equal">
      <formula>"Alta"</formula>
    </cfRule>
    <cfRule type="cellIs" dxfId="524" priority="521" operator="equal">
      <formula>"Media"</formula>
    </cfRule>
    <cfRule type="cellIs" dxfId="523" priority="522" operator="equal">
      <formula>"Baja"</formula>
    </cfRule>
    <cfRule type="cellIs" dxfId="522" priority="523" operator="equal">
      <formula>"Muy Baja"</formula>
    </cfRule>
  </conditionalFormatting>
  <conditionalFormatting sqref="O133">
    <cfRule type="cellIs" dxfId="521" priority="514" operator="equal">
      <formula>"Catastrófico"</formula>
    </cfRule>
    <cfRule type="cellIs" dxfId="520" priority="515" operator="equal">
      <formula>"Mayor"</formula>
    </cfRule>
    <cfRule type="cellIs" dxfId="519" priority="516" operator="equal">
      <formula>"Moderado"</formula>
    </cfRule>
    <cfRule type="cellIs" dxfId="518" priority="517" operator="equal">
      <formula>"Menor"</formula>
    </cfRule>
    <cfRule type="cellIs" dxfId="517" priority="518" operator="equal">
      <formula>"Leve"</formula>
    </cfRule>
  </conditionalFormatting>
  <conditionalFormatting sqref="Q133">
    <cfRule type="cellIs" dxfId="516" priority="510" operator="equal">
      <formula>"Extremo"</formula>
    </cfRule>
    <cfRule type="cellIs" dxfId="515" priority="511" operator="equal">
      <formula>"Alto"</formula>
    </cfRule>
    <cfRule type="cellIs" dxfId="514" priority="512" operator="equal">
      <formula>"Moderado"</formula>
    </cfRule>
    <cfRule type="cellIs" dxfId="513" priority="513" operator="equal">
      <formula>"Bajo"</formula>
    </cfRule>
  </conditionalFormatting>
  <conditionalFormatting sqref="N133:N135">
    <cfRule type="containsText" dxfId="512" priority="509" operator="containsText" text="❌">
      <formula>NOT(ISERROR(SEARCH("❌",N133)))</formula>
    </cfRule>
  </conditionalFormatting>
  <conditionalFormatting sqref="AB133:AB135">
    <cfRule type="cellIs" dxfId="511" priority="504" operator="equal">
      <formula>"Muy Alta"</formula>
    </cfRule>
    <cfRule type="cellIs" dxfId="510" priority="505" operator="equal">
      <formula>"Alta"</formula>
    </cfRule>
    <cfRule type="cellIs" dxfId="509" priority="506" operator="equal">
      <formula>"Media"</formula>
    </cfRule>
    <cfRule type="cellIs" dxfId="508" priority="507" operator="equal">
      <formula>"Baja"</formula>
    </cfRule>
    <cfRule type="cellIs" dxfId="507" priority="508" operator="equal">
      <formula>"Muy Baja"</formula>
    </cfRule>
  </conditionalFormatting>
  <conditionalFormatting sqref="AD133:AD135">
    <cfRule type="cellIs" dxfId="506" priority="499" operator="equal">
      <formula>"Catastrófico"</formula>
    </cfRule>
    <cfRule type="cellIs" dxfId="505" priority="500" operator="equal">
      <formula>"Mayor"</formula>
    </cfRule>
    <cfRule type="cellIs" dxfId="504" priority="501" operator="equal">
      <formula>"Moderado"</formula>
    </cfRule>
    <cfRule type="cellIs" dxfId="503" priority="502" operator="equal">
      <formula>"Menor"</formula>
    </cfRule>
    <cfRule type="cellIs" dxfId="502" priority="503" operator="equal">
      <formula>"Leve"</formula>
    </cfRule>
  </conditionalFormatting>
  <conditionalFormatting sqref="AF133:AF135">
    <cfRule type="cellIs" dxfId="501" priority="495" operator="equal">
      <formula>"Extremo"</formula>
    </cfRule>
    <cfRule type="cellIs" dxfId="500" priority="496" operator="equal">
      <formula>"Alto"</formula>
    </cfRule>
    <cfRule type="cellIs" dxfId="499" priority="497" operator="equal">
      <formula>"Moderado"</formula>
    </cfRule>
    <cfRule type="cellIs" dxfId="498" priority="498" operator="equal">
      <formula>"Bajo"</formula>
    </cfRule>
  </conditionalFormatting>
  <conditionalFormatting sqref="N133:N135">
    <cfRule type="containsText" dxfId="497" priority="494" operator="containsText" text="❌">
      <formula>NOT(ISERROR(SEARCH("❌",N133)))</formula>
    </cfRule>
  </conditionalFormatting>
  <conditionalFormatting sqref="AB136">
    <cfRule type="cellIs" dxfId="496" priority="489" operator="equal">
      <formula>"Muy Alta"</formula>
    </cfRule>
    <cfRule type="cellIs" dxfId="495" priority="490" operator="equal">
      <formula>"Alta"</formula>
    </cfRule>
    <cfRule type="cellIs" dxfId="494" priority="491" operator="equal">
      <formula>"Media"</formula>
    </cfRule>
    <cfRule type="cellIs" dxfId="493" priority="492" operator="equal">
      <formula>"Baja"</formula>
    </cfRule>
    <cfRule type="cellIs" dxfId="492" priority="493" operator="equal">
      <formula>"Muy Baja"</formula>
    </cfRule>
  </conditionalFormatting>
  <conditionalFormatting sqref="AD136">
    <cfRule type="cellIs" dxfId="491" priority="484" operator="equal">
      <formula>"Catastrófico"</formula>
    </cfRule>
    <cfRule type="cellIs" dxfId="490" priority="485" operator="equal">
      <formula>"Mayor"</formula>
    </cfRule>
    <cfRule type="cellIs" dxfId="489" priority="486" operator="equal">
      <formula>"Moderado"</formula>
    </cfRule>
    <cfRule type="cellIs" dxfId="488" priority="487" operator="equal">
      <formula>"Menor"</formula>
    </cfRule>
    <cfRule type="cellIs" dxfId="487" priority="488" operator="equal">
      <formula>"Leve"</formula>
    </cfRule>
  </conditionalFormatting>
  <conditionalFormatting sqref="AF136">
    <cfRule type="cellIs" dxfId="486" priority="480" operator="equal">
      <formula>"Extremo"</formula>
    </cfRule>
    <cfRule type="cellIs" dxfId="485" priority="481" operator="equal">
      <formula>"Alto"</formula>
    </cfRule>
    <cfRule type="cellIs" dxfId="484" priority="482" operator="equal">
      <formula>"Moderado"</formula>
    </cfRule>
    <cfRule type="cellIs" dxfId="483" priority="483" operator="equal">
      <formula>"Bajo"</formula>
    </cfRule>
  </conditionalFormatting>
  <conditionalFormatting sqref="AB137">
    <cfRule type="cellIs" dxfId="482" priority="475" operator="equal">
      <formula>"Muy Alta"</formula>
    </cfRule>
    <cfRule type="cellIs" dxfId="481" priority="476" operator="equal">
      <formula>"Alta"</formula>
    </cfRule>
    <cfRule type="cellIs" dxfId="480" priority="477" operator="equal">
      <formula>"Media"</formula>
    </cfRule>
    <cfRule type="cellIs" dxfId="479" priority="478" operator="equal">
      <formula>"Baja"</formula>
    </cfRule>
    <cfRule type="cellIs" dxfId="478" priority="479" operator="equal">
      <formula>"Muy Baja"</formula>
    </cfRule>
  </conditionalFormatting>
  <conditionalFormatting sqref="AD137">
    <cfRule type="cellIs" dxfId="477" priority="470" operator="equal">
      <formula>"Catastrófico"</formula>
    </cfRule>
    <cfRule type="cellIs" dxfId="476" priority="471" operator="equal">
      <formula>"Mayor"</formula>
    </cfRule>
    <cfRule type="cellIs" dxfId="475" priority="472" operator="equal">
      <formula>"Moderado"</formula>
    </cfRule>
    <cfRule type="cellIs" dxfId="474" priority="473" operator="equal">
      <formula>"Menor"</formula>
    </cfRule>
    <cfRule type="cellIs" dxfId="473" priority="474" operator="equal">
      <formula>"Leve"</formula>
    </cfRule>
  </conditionalFormatting>
  <conditionalFormatting sqref="AF137">
    <cfRule type="cellIs" dxfId="472" priority="466" operator="equal">
      <formula>"Extremo"</formula>
    </cfRule>
    <cfRule type="cellIs" dxfId="471" priority="467" operator="equal">
      <formula>"Alto"</formula>
    </cfRule>
    <cfRule type="cellIs" dxfId="470" priority="468" operator="equal">
      <formula>"Moderado"</formula>
    </cfRule>
    <cfRule type="cellIs" dxfId="469" priority="469" operator="equal">
      <formula>"Bajo"</formula>
    </cfRule>
  </conditionalFormatting>
  <conditionalFormatting sqref="AB138">
    <cfRule type="cellIs" dxfId="468" priority="461" operator="equal">
      <formula>"Muy Alta"</formula>
    </cfRule>
    <cfRule type="cellIs" dxfId="467" priority="462" operator="equal">
      <formula>"Alta"</formula>
    </cfRule>
    <cfRule type="cellIs" dxfId="466" priority="463" operator="equal">
      <formula>"Media"</formula>
    </cfRule>
    <cfRule type="cellIs" dxfId="465" priority="464" operator="equal">
      <formula>"Baja"</formula>
    </cfRule>
    <cfRule type="cellIs" dxfId="464" priority="465" operator="equal">
      <formula>"Muy Baja"</formula>
    </cfRule>
  </conditionalFormatting>
  <conditionalFormatting sqref="AD138">
    <cfRule type="cellIs" dxfId="463" priority="456" operator="equal">
      <formula>"Catastrófico"</formula>
    </cfRule>
    <cfRule type="cellIs" dxfId="462" priority="457" operator="equal">
      <formula>"Mayor"</formula>
    </cfRule>
    <cfRule type="cellIs" dxfId="461" priority="458" operator="equal">
      <formula>"Moderado"</formula>
    </cfRule>
    <cfRule type="cellIs" dxfId="460" priority="459" operator="equal">
      <formula>"Menor"</formula>
    </cfRule>
    <cfRule type="cellIs" dxfId="459" priority="460" operator="equal">
      <formula>"Leve"</formula>
    </cfRule>
  </conditionalFormatting>
  <conditionalFormatting sqref="AF138">
    <cfRule type="cellIs" dxfId="458" priority="452" operator="equal">
      <formula>"Extremo"</formula>
    </cfRule>
    <cfRule type="cellIs" dxfId="457" priority="453" operator="equal">
      <formula>"Alto"</formula>
    </cfRule>
    <cfRule type="cellIs" dxfId="456" priority="454" operator="equal">
      <formula>"Moderado"</formula>
    </cfRule>
    <cfRule type="cellIs" dxfId="455" priority="455" operator="equal">
      <formula>"Bajo"</formula>
    </cfRule>
  </conditionalFormatting>
  <conditionalFormatting sqref="K136">
    <cfRule type="cellIs" dxfId="454" priority="447" operator="equal">
      <formula>"Muy Alta"</formula>
    </cfRule>
    <cfRule type="cellIs" dxfId="453" priority="448" operator="equal">
      <formula>"Alta"</formula>
    </cfRule>
    <cfRule type="cellIs" dxfId="452" priority="449" operator="equal">
      <formula>"Media"</formula>
    </cfRule>
    <cfRule type="cellIs" dxfId="451" priority="450" operator="equal">
      <formula>"Baja"</formula>
    </cfRule>
    <cfRule type="cellIs" dxfId="450" priority="451" operator="equal">
      <formula>"Muy Baja"</formula>
    </cfRule>
  </conditionalFormatting>
  <conditionalFormatting sqref="O136">
    <cfRule type="cellIs" dxfId="449" priority="442" operator="equal">
      <formula>"Catastrófico"</formula>
    </cfRule>
    <cfRule type="cellIs" dxfId="448" priority="443" operator="equal">
      <formula>"Mayor"</formula>
    </cfRule>
    <cfRule type="cellIs" dxfId="447" priority="444" operator="equal">
      <formula>"Moderado"</formula>
    </cfRule>
    <cfRule type="cellIs" dxfId="446" priority="445" operator="equal">
      <formula>"Menor"</formula>
    </cfRule>
    <cfRule type="cellIs" dxfId="445" priority="446" operator="equal">
      <formula>"Leve"</formula>
    </cfRule>
  </conditionalFormatting>
  <conditionalFormatting sqref="Q136">
    <cfRule type="cellIs" dxfId="444" priority="438" operator="equal">
      <formula>"Extremo"</formula>
    </cfRule>
    <cfRule type="cellIs" dxfId="443" priority="439" operator="equal">
      <formula>"Alto"</formula>
    </cfRule>
    <cfRule type="cellIs" dxfId="442" priority="440" operator="equal">
      <formula>"Moderado"</formula>
    </cfRule>
    <cfRule type="cellIs" dxfId="441" priority="441" operator="equal">
      <formula>"Bajo"</formula>
    </cfRule>
  </conditionalFormatting>
  <conditionalFormatting sqref="N136:N138">
    <cfRule type="containsText" dxfId="440" priority="437" operator="containsText" text="❌">
      <formula>NOT(ISERROR(SEARCH("❌",N136)))</formula>
    </cfRule>
  </conditionalFormatting>
  <conditionalFormatting sqref="AB136:AB138">
    <cfRule type="cellIs" dxfId="439" priority="432" operator="equal">
      <formula>"Muy Alta"</formula>
    </cfRule>
    <cfRule type="cellIs" dxfId="438" priority="433" operator="equal">
      <formula>"Alta"</formula>
    </cfRule>
    <cfRule type="cellIs" dxfId="437" priority="434" operator="equal">
      <formula>"Media"</formula>
    </cfRule>
    <cfRule type="cellIs" dxfId="436" priority="435" operator="equal">
      <formula>"Baja"</formula>
    </cfRule>
    <cfRule type="cellIs" dxfId="435" priority="436" operator="equal">
      <formula>"Muy Baja"</formula>
    </cfRule>
  </conditionalFormatting>
  <conditionalFormatting sqref="AD136:AD138">
    <cfRule type="cellIs" dxfId="434" priority="427" operator="equal">
      <formula>"Catastrófico"</formula>
    </cfRule>
    <cfRule type="cellIs" dxfId="433" priority="428" operator="equal">
      <formula>"Mayor"</formula>
    </cfRule>
    <cfRule type="cellIs" dxfId="432" priority="429" operator="equal">
      <formula>"Moderado"</formula>
    </cfRule>
    <cfRule type="cellIs" dxfId="431" priority="430" operator="equal">
      <formula>"Menor"</formula>
    </cfRule>
    <cfRule type="cellIs" dxfId="430" priority="431" operator="equal">
      <formula>"Leve"</formula>
    </cfRule>
  </conditionalFormatting>
  <conditionalFormatting sqref="AF136:AF138">
    <cfRule type="cellIs" dxfId="429" priority="423" operator="equal">
      <formula>"Extremo"</formula>
    </cfRule>
    <cfRule type="cellIs" dxfId="428" priority="424" operator="equal">
      <formula>"Alto"</formula>
    </cfRule>
    <cfRule type="cellIs" dxfId="427" priority="425" operator="equal">
      <formula>"Moderado"</formula>
    </cfRule>
    <cfRule type="cellIs" dxfId="426" priority="426" operator="equal">
      <formula>"Bajo"</formula>
    </cfRule>
  </conditionalFormatting>
  <conditionalFormatting sqref="N136:N138">
    <cfRule type="containsText" dxfId="425" priority="422" operator="containsText" text="❌">
      <formula>NOT(ISERROR(SEARCH("❌",N136)))</formula>
    </cfRule>
  </conditionalFormatting>
  <conditionalFormatting sqref="AB139">
    <cfRule type="cellIs" dxfId="424" priority="417" operator="equal">
      <formula>"Muy Alta"</formula>
    </cfRule>
    <cfRule type="cellIs" dxfId="423" priority="418" operator="equal">
      <formula>"Alta"</formula>
    </cfRule>
    <cfRule type="cellIs" dxfId="422" priority="419" operator="equal">
      <formula>"Media"</formula>
    </cfRule>
    <cfRule type="cellIs" dxfId="421" priority="420" operator="equal">
      <formula>"Baja"</formula>
    </cfRule>
    <cfRule type="cellIs" dxfId="420" priority="421" operator="equal">
      <formula>"Muy Baja"</formula>
    </cfRule>
  </conditionalFormatting>
  <conditionalFormatting sqref="AD139">
    <cfRule type="cellIs" dxfId="419" priority="412" operator="equal">
      <formula>"Catastrófico"</formula>
    </cfRule>
    <cfRule type="cellIs" dxfId="418" priority="413" operator="equal">
      <formula>"Mayor"</formula>
    </cfRule>
    <cfRule type="cellIs" dxfId="417" priority="414" operator="equal">
      <formula>"Moderado"</formula>
    </cfRule>
    <cfRule type="cellIs" dxfId="416" priority="415" operator="equal">
      <formula>"Menor"</formula>
    </cfRule>
    <cfRule type="cellIs" dxfId="415" priority="416" operator="equal">
      <formula>"Leve"</formula>
    </cfRule>
  </conditionalFormatting>
  <conditionalFormatting sqref="AF139">
    <cfRule type="cellIs" dxfId="414" priority="408" operator="equal">
      <formula>"Extremo"</formula>
    </cfRule>
    <cfRule type="cellIs" dxfId="413" priority="409" operator="equal">
      <formula>"Alto"</formula>
    </cfRule>
    <cfRule type="cellIs" dxfId="412" priority="410" operator="equal">
      <formula>"Moderado"</formula>
    </cfRule>
    <cfRule type="cellIs" dxfId="411" priority="411" operator="equal">
      <formula>"Bajo"</formula>
    </cfRule>
  </conditionalFormatting>
  <conditionalFormatting sqref="AB140">
    <cfRule type="cellIs" dxfId="410" priority="403" operator="equal">
      <formula>"Muy Alta"</formula>
    </cfRule>
    <cfRule type="cellIs" dxfId="409" priority="404" operator="equal">
      <formula>"Alta"</formula>
    </cfRule>
    <cfRule type="cellIs" dxfId="408" priority="405" operator="equal">
      <formula>"Media"</formula>
    </cfRule>
    <cfRule type="cellIs" dxfId="407" priority="406" operator="equal">
      <formula>"Baja"</formula>
    </cfRule>
    <cfRule type="cellIs" dxfId="406" priority="407" operator="equal">
      <formula>"Muy Baja"</formula>
    </cfRule>
  </conditionalFormatting>
  <conditionalFormatting sqref="AD140">
    <cfRule type="cellIs" dxfId="405" priority="398" operator="equal">
      <formula>"Catastrófico"</formula>
    </cfRule>
    <cfRule type="cellIs" dxfId="404" priority="399" operator="equal">
      <formula>"Mayor"</formula>
    </cfRule>
    <cfRule type="cellIs" dxfId="403" priority="400" operator="equal">
      <formula>"Moderado"</formula>
    </cfRule>
    <cfRule type="cellIs" dxfId="402" priority="401" operator="equal">
      <formula>"Menor"</formula>
    </cfRule>
    <cfRule type="cellIs" dxfId="401" priority="402" operator="equal">
      <formula>"Leve"</formula>
    </cfRule>
  </conditionalFormatting>
  <conditionalFormatting sqref="AF140">
    <cfRule type="cellIs" dxfId="400" priority="394" operator="equal">
      <formula>"Extremo"</formula>
    </cfRule>
    <cfRule type="cellIs" dxfId="399" priority="395" operator="equal">
      <formula>"Alto"</formula>
    </cfRule>
    <cfRule type="cellIs" dxfId="398" priority="396" operator="equal">
      <formula>"Moderado"</formula>
    </cfRule>
    <cfRule type="cellIs" dxfId="397" priority="397" operator="equal">
      <formula>"Bajo"</formula>
    </cfRule>
  </conditionalFormatting>
  <conditionalFormatting sqref="AB141">
    <cfRule type="cellIs" dxfId="396" priority="389" operator="equal">
      <formula>"Muy Alta"</formula>
    </cfRule>
    <cfRule type="cellIs" dxfId="395" priority="390" operator="equal">
      <formula>"Alta"</formula>
    </cfRule>
    <cfRule type="cellIs" dxfId="394" priority="391" operator="equal">
      <formula>"Media"</formula>
    </cfRule>
    <cfRule type="cellIs" dxfId="393" priority="392" operator="equal">
      <formula>"Baja"</formula>
    </cfRule>
    <cfRule type="cellIs" dxfId="392" priority="393" operator="equal">
      <formula>"Muy Baja"</formula>
    </cfRule>
  </conditionalFormatting>
  <conditionalFormatting sqref="AD141">
    <cfRule type="cellIs" dxfId="391" priority="384" operator="equal">
      <formula>"Catastrófico"</formula>
    </cfRule>
    <cfRule type="cellIs" dxfId="390" priority="385" operator="equal">
      <formula>"Mayor"</formula>
    </cfRule>
    <cfRule type="cellIs" dxfId="389" priority="386" operator="equal">
      <formula>"Moderado"</formula>
    </cfRule>
    <cfRule type="cellIs" dxfId="388" priority="387" operator="equal">
      <formula>"Menor"</formula>
    </cfRule>
    <cfRule type="cellIs" dxfId="387" priority="388" operator="equal">
      <formula>"Leve"</formula>
    </cfRule>
  </conditionalFormatting>
  <conditionalFormatting sqref="AF141">
    <cfRule type="cellIs" dxfId="386" priority="380" operator="equal">
      <formula>"Extremo"</formula>
    </cfRule>
    <cfRule type="cellIs" dxfId="385" priority="381" operator="equal">
      <formula>"Alto"</formula>
    </cfRule>
    <cfRule type="cellIs" dxfId="384" priority="382" operator="equal">
      <formula>"Moderado"</formula>
    </cfRule>
    <cfRule type="cellIs" dxfId="383" priority="383" operator="equal">
      <formula>"Bajo"</formula>
    </cfRule>
  </conditionalFormatting>
  <conditionalFormatting sqref="K139">
    <cfRule type="cellIs" dxfId="382" priority="375" operator="equal">
      <formula>"Muy Alta"</formula>
    </cfRule>
    <cfRule type="cellIs" dxfId="381" priority="376" operator="equal">
      <formula>"Alta"</formula>
    </cfRule>
    <cfRule type="cellIs" dxfId="380" priority="377" operator="equal">
      <formula>"Media"</formula>
    </cfRule>
    <cfRule type="cellIs" dxfId="379" priority="378" operator="equal">
      <formula>"Baja"</formula>
    </cfRule>
    <cfRule type="cellIs" dxfId="378" priority="379" operator="equal">
      <formula>"Muy Baja"</formula>
    </cfRule>
  </conditionalFormatting>
  <conditionalFormatting sqref="O139">
    <cfRule type="cellIs" dxfId="377" priority="370" operator="equal">
      <formula>"Catastrófico"</formula>
    </cfRule>
    <cfRule type="cellIs" dxfId="376" priority="371" operator="equal">
      <formula>"Mayor"</formula>
    </cfRule>
    <cfRule type="cellIs" dxfId="375" priority="372" operator="equal">
      <formula>"Moderado"</formula>
    </cfRule>
    <cfRule type="cellIs" dxfId="374" priority="373" operator="equal">
      <formula>"Menor"</formula>
    </cfRule>
    <cfRule type="cellIs" dxfId="373" priority="374" operator="equal">
      <formula>"Leve"</formula>
    </cfRule>
  </conditionalFormatting>
  <conditionalFormatting sqref="Q139">
    <cfRule type="cellIs" dxfId="372" priority="366" operator="equal">
      <formula>"Extremo"</formula>
    </cfRule>
    <cfRule type="cellIs" dxfId="371" priority="367" operator="equal">
      <formula>"Alto"</formula>
    </cfRule>
    <cfRule type="cellIs" dxfId="370" priority="368" operator="equal">
      <formula>"Moderado"</formula>
    </cfRule>
    <cfRule type="cellIs" dxfId="369" priority="369" operator="equal">
      <formula>"Bajo"</formula>
    </cfRule>
  </conditionalFormatting>
  <conditionalFormatting sqref="N139:N141">
    <cfRule type="containsText" dxfId="368" priority="365" operator="containsText" text="❌">
      <formula>NOT(ISERROR(SEARCH("❌",N139)))</formula>
    </cfRule>
  </conditionalFormatting>
  <conditionalFormatting sqref="AB139:AB141">
    <cfRule type="cellIs" dxfId="367" priority="360" operator="equal">
      <formula>"Muy Alta"</formula>
    </cfRule>
    <cfRule type="cellIs" dxfId="366" priority="361" operator="equal">
      <formula>"Alta"</formula>
    </cfRule>
    <cfRule type="cellIs" dxfId="365" priority="362" operator="equal">
      <formula>"Media"</formula>
    </cfRule>
    <cfRule type="cellIs" dxfId="364" priority="363" operator="equal">
      <formula>"Baja"</formula>
    </cfRule>
    <cfRule type="cellIs" dxfId="363" priority="364" operator="equal">
      <formula>"Muy Baja"</formula>
    </cfRule>
  </conditionalFormatting>
  <conditionalFormatting sqref="AD139:AD141">
    <cfRule type="cellIs" dxfId="362" priority="355" operator="equal">
      <formula>"Catastrófico"</formula>
    </cfRule>
    <cfRule type="cellIs" dxfId="361" priority="356" operator="equal">
      <formula>"Mayor"</formula>
    </cfRule>
    <cfRule type="cellIs" dxfId="360" priority="357" operator="equal">
      <formula>"Moderado"</formula>
    </cfRule>
    <cfRule type="cellIs" dxfId="359" priority="358" operator="equal">
      <formula>"Menor"</formula>
    </cfRule>
    <cfRule type="cellIs" dxfId="358" priority="359" operator="equal">
      <formula>"Leve"</formula>
    </cfRule>
  </conditionalFormatting>
  <conditionalFormatting sqref="AF139:AF141">
    <cfRule type="cellIs" dxfId="357" priority="351" operator="equal">
      <formula>"Extremo"</formula>
    </cfRule>
    <cfRule type="cellIs" dxfId="356" priority="352" operator="equal">
      <formula>"Alto"</formula>
    </cfRule>
    <cfRule type="cellIs" dxfId="355" priority="353" operator="equal">
      <formula>"Moderado"</formula>
    </cfRule>
    <cfRule type="cellIs" dxfId="354" priority="354" operator="equal">
      <formula>"Bajo"</formula>
    </cfRule>
  </conditionalFormatting>
  <conditionalFormatting sqref="N139:N141">
    <cfRule type="containsText" dxfId="353" priority="350" operator="containsText" text="❌">
      <formula>NOT(ISERROR(SEARCH("❌",N139)))</formula>
    </cfRule>
  </conditionalFormatting>
  <conditionalFormatting sqref="AB142">
    <cfRule type="cellIs" dxfId="352" priority="345" operator="equal">
      <formula>"Muy Alta"</formula>
    </cfRule>
    <cfRule type="cellIs" dxfId="351" priority="346" operator="equal">
      <formula>"Alta"</formula>
    </cfRule>
    <cfRule type="cellIs" dxfId="350" priority="347" operator="equal">
      <formula>"Media"</formula>
    </cfRule>
    <cfRule type="cellIs" dxfId="349" priority="348" operator="equal">
      <formula>"Baja"</formula>
    </cfRule>
    <cfRule type="cellIs" dxfId="348" priority="349" operator="equal">
      <formula>"Muy Baja"</formula>
    </cfRule>
  </conditionalFormatting>
  <conditionalFormatting sqref="AD142">
    <cfRule type="cellIs" dxfId="347" priority="340" operator="equal">
      <formula>"Catastrófico"</formula>
    </cfRule>
    <cfRule type="cellIs" dxfId="346" priority="341" operator="equal">
      <formula>"Mayor"</formula>
    </cfRule>
    <cfRule type="cellIs" dxfId="345" priority="342" operator="equal">
      <formula>"Moderado"</formula>
    </cfRule>
    <cfRule type="cellIs" dxfId="344" priority="343" operator="equal">
      <formula>"Menor"</formula>
    </cfRule>
    <cfRule type="cellIs" dxfId="343" priority="344" operator="equal">
      <formula>"Leve"</formula>
    </cfRule>
  </conditionalFormatting>
  <conditionalFormatting sqref="AF142">
    <cfRule type="cellIs" dxfId="342" priority="336" operator="equal">
      <formula>"Extremo"</formula>
    </cfRule>
    <cfRule type="cellIs" dxfId="341" priority="337" operator="equal">
      <formula>"Alto"</formula>
    </cfRule>
    <cfRule type="cellIs" dxfId="340" priority="338" operator="equal">
      <formula>"Moderado"</formula>
    </cfRule>
    <cfRule type="cellIs" dxfId="339" priority="339" operator="equal">
      <formula>"Bajo"</formula>
    </cfRule>
  </conditionalFormatting>
  <conditionalFormatting sqref="AB143">
    <cfRule type="cellIs" dxfId="338" priority="331" operator="equal">
      <formula>"Muy Alta"</formula>
    </cfRule>
    <cfRule type="cellIs" dxfId="337" priority="332" operator="equal">
      <formula>"Alta"</formula>
    </cfRule>
    <cfRule type="cellIs" dxfId="336" priority="333" operator="equal">
      <formula>"Media"</formula>
    </cfRule>
    <cfRule type="cellIs" dxfId="335" priority="334" operator="equal">
      <formula>"Baja"</formula>
    </cfRule>
    <cfRule type="cellIs" dxfId="334" priority="335" operator="equal">
      <formula>"Muy Baja"</formula>
    </cfRule>
  </conditionalFormatting>
  <conditionalFormatting sqref="AD143">
    <cfRule type="cellIs" dxfId="333" priority="326" operator="equal">
      <formula>"Catastrófico"</formula>
    </cfRule>
    <cfRule type="cellIs" dxfId="332" priority="327" operator="equal">
      <formula>"Mayor"</formula>
    </cfRule>
    <cfRule type="cellIs" dxfId="331" priority="328" operator="equal">
      <formula>"Moderado"</formula>
    </cfRule>
    <cfRule type="cellIs" dxfId="330" priority="329" operator="equal">
      <formula>"Menor"</formula>
    </cfRule>
    <cfRule type="cellIs" dxfId="329" priority="330" operator="equal">
      <formula>"Leve"</formula>
    </cfRule>
  </conditionalFormatting>
  <conditionalFormatting sqref="AF143">
    <cfRule type="cellIs" dxfId="328" priority="322" operator="equal">
      <formula>"Extremo"</formula>
    </cfRule>
    <cfRule type="cellIs" dxfId="327" priority="323" operator="equal">
      <formula>"Alto"</formula>
    </cfRule>
    <cfRule type="cellIs" dxfId="326" priority="324" operator="equal">
      <formula>"Moderado"</formula>
    </cfRule>
    <cfRule type="cellIs" dxfId="325" priority="325" operator="equal">
      <formula>"Bajo"</formula>
    </cfRule>
  </conditionalFormatting>
  <conditionalFormatting sqref="AB144">
    <cfRule type="cellIs" dxfId="324" priority="317" operator="equal">
      <formula>"Muy Alta"</formula>
    </cfRule>
    <cfRule type="cellIs" dxfId="323" priority="318" operator="equal">
      <formula>"Alta"</formula>
    </cfRule>
    <cfRule type="cellIs" dxfId="322" priority="319" operator="equal">
      <formula>"Media"</formula>
    </cfRule>
    <cfRule type="cellIs" dxfId="321" priority="320" operator="equal">
      <formula>"Baja"</formula>
    </cfRule>
    <cfRule type="cellIs" dxfId="320" priority="321" operator="equal">
      <formula>"Muy Baja"</formula>
    </cfRule>
  </conditionalFormatting>
  <conditionalFormatting sqref="AD144">
    <cfRule type="cellIs" dxfId="319" priority="312" operator="equal">
      <formula>"Catastrófico"</formula>
    </cfRule>
    <cfRule type="cellIs" dxfId="318" priority="313" operator="equal">
      <formula>"Mayor"</formula>
    </cfRule>
    <cfRule type="cellIs" dxfId="317" priority="314" operator="equal">
      <formula>"Moderado"</formula>
    </cfRule>
    <cfRule type="cellIs" dxfId="316" priority="315" operator="equal">
      <formula>"Menor"</formula>
    </cfRule>
    <cfRule type="cellIs" dxfId="315" priority="316" operator="equal">
      <formula>"Leve"</formula>
    </cfRule>
  </conditionalFormatting>
  <conditionalFormatting sqref="AF144">
    <cfRule type="cellIs" dxfId="314" priority="308" operator="equal">
      <formula>"Extremo"</formula>
    </cfRule>
    <cfRule type="cellIs" dxfId="313" priority="309" operator="equal">
      <formula>"Alto"</formula>
    </cfRule>
    <cfRule type="cellIs" dxfId="312" priority="310" operator="equal">
      <formula>"Moderado"</formula>
    </cfRule>
    <cfRule type="cellIs" dxfId="311" priority="311" operator="equal">
      <formula>"Bajo"</formula>
    </cfRule>
  </conditionalFormatting>
  <conditionalFormatting sqref="K142">
    <cfRule type="cellIs" dxfId="310" priority="303" operator="equal">
      <formula>"Muy Alta"</formula>
    </cfRule>
    <cfRule type="cellIs" dxfId="309" priority="304" operator="equal">
      <formula>"Alta"</formula>
    </cfRule>
    <cfRule type="cellIs" dxfId="308" priority="305" operator="equal">
      <formula>"Media"</formula>
    </cfRule>
    <cfRule type="cellIs" dxfId="307" priority="306" operator="equal">
      <formula>"Baja"</formula>
    </cfRule>
    <cfRule type="cellIs" dxfId="306" priority="307" operator="equal">
      <formula>"Muy Baja"</formula>
    </cfRule>
  </conditionalFormatting>
  <conditionalFormatting sqref="O142">
    <cfRule type="cellIs" dxfId="305" priority="298" operator="equal">
      <formula>"Catastrófico"</formula>
    </cfRule>
    <cfRule type="cellIs" dxfId="304" priority="299" operator="equal">
      <formula>"Mayor"</formula>
    </cfRule>
    <cfRule type="cellIs" dxfId="303" priority="300" operator="equal">
      <formula>"Moderado"</formula>
    </cfRule>
    <cfRule type="cellIs" dxfId="302" priority="301" operator="equal">
      <formula>"Menor"</formula>
    </cfRule>
    <cfRule type="cellIs" dxfId="301" priority="302" operator="equal">
      <formula>"Leve"</formula>
    </cfRule>
  </conditionalFormatting>
  <conditionalFormatting sqref="Q142">
    <cfRule type="cellIs" dxfId="300" priority="294" operator="equal">
      <formula>"Extremo"</formula>
    </cfRule>
    <cfRule type="cellIs" dxfId="299" priority="295" operator="equal">
      <formula>"Alto"</formula>
    </cfRule>
    <cfRule type="cellIs" dxfId="298" priority="296" operator="equal">
      <formula>"Moderado"</formula>
    </cfRule>
    <cfRule type="cellIs" dxfId="297" priority="297" operator="equal">
      <formula>"Bajo"</formula>
    </cfRule>
  </conditionalFormatting>
  <conditionalFormatting sqref="N142:N144">
    <cfRule type="containsText" dxfId="296" priority="293" operator="containsText" text="❌">
      <formula>NOT(ISERROR(SEARCH("❌",N142)))</formula>
    </cfRule>
  </conditionalFormatting>
  <conditionalFormatting sqref="AB142:AB144">
    <cfRule type="cellIs" dxfId="295" priority="288" operator="equal">
      <formula>"Muy Alta"</formula>
    </cfRule>
    <cfRule type="cellIs" dxfId="294" priority="289" operator="equal">
      <formula>"Alta"</formula>
    </cfRule>
    <cfRule type="cellIs" dxfId="293" priority="290" operator="equal">
      <formula>"Media"</formula>
    </cfRule>
    <cfRule type="cellIs" dxfId="292" priority="291" operator="equal">
      <formula>"Baja"</formula>
    </cfRule>
    <cfRule type="cellIs" dxfId="291" priority="292" operator="equal">
      <formula>"Muy Baja"</formula>
    </cfRule>
  </conditionalFormatting>
  <conditionalFormatting sqref="AD142:AD144">
    <cfRule type="cellIs" dxfId="290" priority="283" operator="equal">
      <formula>"Catastrófico"</formula>
    </cfRule>
    <cfRule type="cellIs" dxfId="289" priority="284" operator="equal">
      <formula>"Mayor"</formula>
    </cfRule>
    <cfRule type="cellIs" dxfId="288" priority="285" operator="equal">
      <formula>"Moderado"</formula>
    </cfRule>
    <cfRule type="cellIs" dxfId="287" priority="286" operator="equal">
      <formula>"Menor"</formula>
    </cfRule>
    <cfRule type="cellIs" dxfId="286" priority="287" operator="equal">
      <formula>"Leve"</formula>
    </cfRule>
  </conditionalFormatting>
  <conditionalFormatting sqref="AF142:AF144">
    <cfRule type="cellIs" dxfId="285" priority="279" operator="equal">
      <formula>"Extremo"</formula>
    </cfRule>
    <cfRule type="cellIs" dxfId="284" priority="280" operator="equal">
      <formula>"Alto"</formula>
    </cfRule>
    <cfRule type="cellIs" dxfId="283" priority="281" operator="equal">
      <formula>"Moderado"</formula>
    </cfRule>
    <cfRule type="cellIs" dxfId="282" priority="282" operator="equal">
      <formula>"Bajo"</formula>
    </cfRule>
  </conditionalFormatting>
  <conditionalFormatting sqref="N142:N144">
    <cfRule type="containsText" dxfId="281" priority="278" operator="containsText" text="❌">
      <formula>NOT(ISERROR(SEARCH("❌",N142)))</formula>
    </cfRule>
  </conditionalFormatting>
  <conditionalFormatting sqref="AB145">
    <cfRule type="cellIs" dxfId="280" priority="273" operator="equal">
      <formula>"Muy Alta"</formula>
    </cfRule>
    <cfRule type="cellIs" dxfId="279" priority="274" operator="equal">
      <formula>"Alta"</formula>
    </cfRule>
    <cfRule type="cellIs" dxfId="278" priority="275" operator="equal">
      <formula>"Media"</formula>
    </cfRule>
    <cfRule type="cellIs" dxfId="277" priority="276" operator="equal">
      <formula>"Baja"</formula>
    </cfRule>
    <cfRule type="cellIs" dxfId="276" priority="277" operator="equal">
      <formula>"Muy Baja"</formula>
    </cfRule>
  </conditionalFormatting>
  <conditionalFormatting sqref="AD145">
    <cfRule type="cellIs" dxfId="275" priority="268" operator="equal">
      <formula>"Catastrófico"</formula>
    </cfRule>
    <cfRule type="cellIs" dxfId="274" priority="269" operator="equal">
      <formula>"Mayor"</formula>
    </cfRule>
    <cfRule type="cellIs" dxfId="273" priority="270" operator="equal">
      <formula>"Moderado"</formula>
    </cfRule>
    <cfRule type="cellIs" dxfId="272" priority="271" operator="equal">
      <formula>"Menor"</formula>
    </cfRule>
    <cfRule type="cellIs" dxfId="271" priority="272" operator="equal">
      <formula>"Leve"</formula>
    </cfRule>
  </conditionalFormatting>
  <conditionalFormatting sqref="AF145">
    <cfRule type="cellIs" dxfId="270" priority="264" operator="equal">
      <formula>"Extremo"</formula>
    </cfRule>
    <cfRule type="cellIs" dxfId="269" priority="265" operator="equal">
      <formula>"Alto"</formula>
    </cfRule>
    <cfRule type="cellIs" dxfId="268" priority="266" operator="equal">
      <formula>"Moderado"</formula>
    </cfRule>
    <cfRule type="cellIs" dxfId="267" priority="267" operator="equal">
      <formula>"Bajo"</formula>
    </cfRule>
  </conditionalFormatting>
  <conditionalFormatting sqref="AB146">
    <cfRule type="cellIs" dxfId="266" priority="259" operator="equal">
      <formula>"Muy Alta"</formula>
    </cfRule>
    <cfRule type="cellIs" dxfId="265" priority="260" operator="equal">
      <formula>"Alta"</formula>
    </cfRule>
    <cfRule type="cellIs" dxfId="264" priority="261" operator="equal">
      <formula>"Media"</formula>
    </cfRule>
    <cfRule type="cellIs" dxfId="263" priority="262" operator="equal">
      <formula>"Baja"</formula>
    </cfRule>
    <cfRule type="cellIs" dxfId="262" priority="263" operator="equal">
      <formula>"Muy Baja"</formula>
    </cfRule>
  </conditionalFormatting>
  <conditionalFormatting sqref="AD146">
    <cfRule type="cellIs" dxfId="261" priority="254" operator="equal">
      <formula>"Catastrófico"</formula>
    </cfRule>
    <cfRule type="cellIs" dxfId="260" priority="255" operator="equal">
      <formula>"Mayor"</formula>
    </cfRule>
    <cfRule type="cellIs" dxfId="259" priority="256" operator="equal">
      <formula>"Moderado"</formula>
    </cfRule>
    <cfRule type="cellIs" dxfId="258" priority="257" operator="equal">
      <formula>"Menor"</formula>
    </cfRule>
    <cfRule type="cellIs" dxfId="257" priority="258" operator="equal">
      <formula>"Leve"</formula>
    </cfRule>
  </conditionalFormatting>
  <conditionalFormatting sqref="AF146">
    <cfRule type="cellIs" dxfId="256" priority="250" operator="equal">
      <formula>"Extremo"</formula>
    </cfRule>
    <cfRule type="cellIs" dxfId="255" priority="251" operator="equal">
      <formula>"Alto"</formula>
    </cfRule>
    <cfRule type="cellIs" dxfId="254" priority="252" operator="equal">
      <formula>"Moderado"</formula>
    </cfRule>
    <cfRule type="cellIs" dxfId="253" priority="253" operator="equal">
      <formula>"Bajo"</formula>
    </cfRule>
  </conditionalFormatting>
  <conditionalFormatting sqref="AB147">
    <cfRule type="cellIs" dxfId="252" priority="245" operator="equal">
      <formula>"Muy Alta"</formula>
    </cfRule>
    <cfRule type="cellIs" dxfId="251" priority="246" operator="equal">
      <formula>"Alta"</formula>
    </cfRule>
    <cfRule type="cellIs" dxfId="250" priority="247" operator="equal">
      <formula>"Media"</formula>
    </cfRule>
    <cfRule type="cellIs" dxfId="249" priority="248" operator="equal">
      <formula>"Baja"</formula>
    </cfRule>
    <cfRule type="cellIs" dxfId="248" priority="249" operator="equal">
      <formula>"Muy Baja"</formula>
    </cfRule>
  </conditionalFormatting>
  <conditionalFormatting sqref="AD147">
    <cfRule type="cellIs" dxfId="247" priority="240" operator="equal">
      <formula>"Catastrófico"</formula>
    </cfRule>
    <cfRule type="cellIs" dxfId="246" priority="241" operator="equal">
      <formula>"Mayor"</formula>
    </cfRule>
    <cfRule type="cellIs" dxfId="245" priority="242" operator="equal">
      <formula>"Moderado"</formula>
    </cfRule>
    <cfRule type="cellIs" dxfId="244" priority="243" operator="equal">
      <formula>"Menor"</formula>
    </cfRule>
    <cfRule type="cellIs" dxfId="243" priority="244" operator="equal">
      <formula>"Leve"</formula>
    </cfRule>
  </conditionalFormatting>
  <conditionalFormatting sqref="AF147">
    <cfRule type="cellIs" dxfId="242" priority="236" operator="equal">
      <formula>"Extremo"</formula>
    </cfRule>
    <cfRule type="cellIs" dxfId="241" priority="237" operator="equal">
      <formula>"Alto"</formula>
    </cfRule>
    <cfRule type="cellIs" dxfId="240" priority="238" operator="equal">
      <formula>"Moderado"</formula>
    </cfRule>
    <cfRule type="cellIs" dxfId="239" priority="239" operator="equal">
      <formula>"Bajo"</formula>
    </cfRule>
  </conditionalFormatting>
  <conditionalFormatting sqref="K145">
    <cfRule type="cellIs" dxfId="238" priority="231" operator="equal">
      <formula>"Muy Alta"</formula>
    </cfRule>
    <cfRule type="cellIs" dxfId="237" priority="232" operator="equal">
      <formula>"Alta"</formula>
    </cfRule>
    <cfRule type="cellIs" dxfId="236" priority="233" operator="equal">
      <formula>"Media"</formula>
    </cfRule>
    <cfRule type="cellIs" dxfId="235" priority="234" operator="equal">
      <formula>"Baja"</formula>
    </cfRule>
    <cfRule type="cellIs" dxfId="234" priority="235" operator="equal">
      <formula>"Muy Baja"</formula>
    </cfRule>
  </conditionalFormatting>
  <conditionalFormatting sqref="O145">
    <cfRule type="cellIs" dxfId="233" priority="226" operator="equal">
      <formula>"Catastrófico"</formula>
    </cfRule>
    <cfRule type="cellIs" dxfId="232" priority="227" operator="equal">
      <formula>"Mayor"</formula>
    </cfRule>
    <cfRule type="cellIs" dxfId="231" priority="228" operator="equal">
      <formula>"Moderado"</formula>
    </cfRule>
    <cfRule type="cellIs" dxfId="230" priority="229" operator="equal">
      <formula>"Menor"</formula>
    </cfRule>
    <cfRule type="cellIs" dxfId="229" priority="230" operator="equal">
      <formula>"Leve"</formula>
    </cfRule>
  </conditionalFormatting>
  <conditionalFormatting sqref="Q145">
    <cfRule type="cellIs" dxfId="228" priority="222" operator="equal">
      <formula>"Extremo"</formula>
    </cfRule>
    <cfRule type="cellIs" dxfId="227" priority="223" operator="equal">
      <formula>"Alto"</formula>
    </cfRule>
    <cfRule type="cellIs" dxfId="226" priority="224" operator="equal">
      <formula>"Moderado"</formula>
    </cfRule>
    <cfRule type="cellIs" dxfId="225" priority="225" operator="equal">
      <formula>"Bajo"</formula>
    </cfRule>
  </conditionalFormatting>
  <conditionalFormatting sqref="N145:N147">
    <cfRule type="containsText" dxfId="224" priority="221" operator="containsText" text="❌">
      <formula>NOT(ISERROR(SEARCH("❌",N145)))</formula>
    </cfRule>
  </conditionalFormatting>
  <conditionalFormatting sqref="AB145:AB147">
    <cfRule type="cellIs" dxfId="223" priority="216" operator="equal">
      <formula>"Muy Alta"</formula>
    </cfRule>
    <cfRule type="cellIs" dxfId="222" priority="217" operator="equal">
      <formula>"Alta"</formula>
    </cfRule>
    <cfRule type="cellIs" dxfId="221" priority="218" operator="equal">
      <formula>"Media"</formula>
    </cfRule>
    <cfRule type="cellIs" dxfId="220" priority="219" operator="equal">
      <formula>"Baja"</formula>
    </cfRule>
    <cfRule type="cellIs" dxfId="219" priority="220" operator="equal">
      <formula>"Muy Baja"</formula>
    </cfRule>
  </conditionalFormatting>
  <conditionalFormatting sqref="AD145:AD147">
    <cfRule type="cellIs" dxfId="218" priority="211" operator="equal">
      <formula>"Catastrófico"</formula>
    </cfRule>
    <cfRule type="cellIs" dxfId="217" priority="212" operator="equal">
      <formula>"Mayor"</formula>
    </cfRule>
    <cfRule type="cellIs" dxfId="216" priority="213" operator="equal">
      <formula>"Moderado"</formula>
    </cfRule>
    <cfRule type="cellIs" dxfId="215" priority="214" operator="equal">
      <formula>"Menor"</formula>
    </cfRule>
    <cfRule type="cellIs" dxfId="214" priority="215" operator="equal">
      <formula>"Leve"</formula>
    </cfRule>
  </conditionalFormatting>
  <conditionalFormatting sqref="AF145:AF147">
    <cfRule type="cellIs" dxfId="213" priority="207" operator="equal">
      <formula>"Extremo"</formula>
    </cfRule>
    <cfRule type="cellIs" dxfId="212" priority="208" operator="equal">
      <formula>"Alto"</formula>
    </cfRule>
    <cfRule type="cellIs" dxfId="211" priority="209" operator="equal">
      <formula>"Moderado"</formula>
    </cfRule>
    <cfRule type="cellIs" dxfId="210" priority="210" operator="equal">
      <formula>"Bajo"</formula>
    </cfRule>
  </conditionalFormatting>
  <conditionalFormatting sqref="N145:N147">
    <cfRule type="containsText" dxfId="209" priority="206" operator="containsText" text="❌">
      <formula>NOT(ISERROR(SEARCH("❌",N145)))</formula>
    </cfRule>
  </conditionalFormatting>
  <conditionalFormatting sqref="AB148">
    <cfRule type="cellIs" dxfId="208" priority="201" operator="equal">
      <formula>"Muy Alta"</formula>
    </cfRule>
    <cfRule type="cellIs" dxfId="207" priority="202" operator="equal">
      <formula>"Alta"</formula>
    </cfRule>
    <cfRule type="cellIs" dxfId="206" priority="203" operator="equal">
      <formula>"Media"</formula>
    </cfRule>
    <cfRule type="cellIs" dxfId="205" priority="204" operator="equal">
      <formula>"Baja"</formula>
    </cfRule>
    <cfRule type="cellIs" dxfId="204" priority="205" operator="equal">
      <formula>"Muy Baja"</formula>
    </cfRule>
  </conditionalFormatting>
  <conditionalFormatting sqref="AD148">
    <cfRule type="cellIs" dxfId="203" priority="196" operator="equal">
      <formula>"Catastrófico"</formula>
    </cfRule>
    <cfRule type="cellIs" dxfId="202" priority="197" operator="equal">
      <formula>"Mayor"</formula>
    </cfRule>
    <cfRule type="cellIs" dxfId="201" priority="198" operator="equal">
      <formula>"Moderado"</formula>
    </cfRule>
    <cfRule type="cellIs" dxfId="200" priority="199" operator="equal">
      <formula>"Menor"</formula>
    </cfRule>
    <cfRule type="cellIs" dxfId="199" priority="200" operator="equal">
      <formula>"Leve"</formula>
    </cfRule>
  </conditionalFormatting>
  <conditionalFormatting sqref="AF148">
    <cfRule type="cellIs" dxfId="198" priority="192" operator="equal">
      <formula>"Extremo"</formula>
    </cfRule>
    <cfRule type="cellIs" dxfId="197" priority="193" operator="equal">
      <formula>"Alto"</formula>
    </cfRule>
    <cfRule type="cellIs" dxfId="196" priority="194" operator="equal">
      <formula>"Moderado"</formula>
    </cfRule>
    <cfRule type="cellIs" dxfId="195" priority="195" operator="equal">
      <formula>"Bajo"</formula>
    </cfRule>
  </conditionalFormatting>
  <conditionalFormatting sqref="AB149">
    <cfRule type="cellIs" dxfId="194" priority="187" operator="equal">
      <formula>"Muy Alta"</formula>
    </cfRule>
    <cfRule type="cellIs" dxfId="193" priority="188" operator="equal">
      <formula>"Alta"</formula>
    </cfRule>
    <cfRule type="cellIs" dxfId="192" priority="189" operator="equal">
      <formula>"Media"</formula>
    </cfRule>
    <cfRule type="cellIs" dxfId="191" priority="190" operator="equal">
      <formula>"Baja"</formula>
    </cfRule>
    <cfRule type="cellIs" dxfId="190" priority="191" operator="equal">
      <formula>"Muy Baja"</formula>
    </cfRule>
  </conditionalFormatting>
  <conditionalFormatting sqref="AD149">
    <cfRule type="cellIs" dxfId="189" priority="182" operator="equal">
      <formula>"Catastrófico"</formula>
    </cfRule>
    <cfRule type="cellIs" dxfId="188" priority="183" operator="equal">
      <formula>"Mayor"</formula>
    </cfRule>
    <cfRule type="cellIs" dxfId="187" priority="184" operator="equal">
      <formula>"Moderado"</formula>
    </cfRule>
    <cfRule type="cellIs" dxfId="186" priority="185" operator="equal">
      <formula>"Menor"</formula>
    </cfRule>
    <cfRule type="cellIs" dxfId="185" priority="186" operator="equal">
      <formula>"Leve"</formula>
    </cfRule>
  </conditionalFormatting>
  <conditionalFormatting sqref="AF149">
    <cfRule type="cellIs" dxfId="184" priority="178" operator="equal">
      <formula>"Extremo"</formula>
    </cfRule>
    <cfRule type="cellIs" dxfId="183" priority="179" operator="equal">
      <formula>"Alto"</formula>
    </cfRule>
    <cfRule type="cellIs" dxfId="182" priority="180" operator="equal">
      <formula>"Moderado"</formula>
    </cfRule>
    <cfRule type="cellIs" dxfId="181" priority="181" operator="equal">
      <formula>"Bajo"</formula>
    </cfRule>
  </conditionalFormatting>
  <conditionalFormatting sqref="AB150">
    <cfRule type="cellIs" dxfId="180" priority="173" operator="equal">
      <formula>"Muy Alta"</formula>
    </cfRule>
    <cfRule type="cellIs" dxfId="179" priority="174" operator="equal">
      <formula>"Alta"</formula>
    </cfRule>
    <cfRule type="cellIs" dxfId="178" priority="175" operator="equal">
      <formula>"Media"</formula>
    </cfRule>
    <cfRule type="cellIs" dxfId="177" priority="176" operator="equal">
      <formula>"Baja"</formula>
    </cfRule>
    <cfRule type="cellIs" dxfId="176" priority="177" operator="equal">
      <formula>"Muy Baja"</formula>
    </cfRule>
  </conditionalFormatting>
  <conditionalFormatting sqref="AD150">
    <cfRule type="cellIs" dxfId="175" priority="168" operator="equal">
      <formula>"Catastrófico"</formula>
    </cfRule>
    <cfRule type="cellIs" dxfId="174" priority="169" operator="equal">
      <formula>"Mayor"</formula>
    </cfRule>
    <cfRule type="cellIs" dxfId="173" priority="170" operator="equal">
      <formula>"Moderado"</formula>
    </cfRule>
    <cfRule type="cellIs" dxfId="172" priority="171" operator="equal">
      <formula>"Menor"</formula>
    </cfRule>
    <cfRule type="cellIs" dxfId="171" priority="172" operator="equal">
      <formula>"Leve"</formula>
    </cfRule>
  </conditionalFormatting>
  <conditionalFormatting sqref="AF150">
    <cfRule type="cellIs" dxfId="170" priority="164" operator="equal">
      <formula>"Extremo"</formula>
    </cfRule>
    <cfRule type="cellIs" dxfId="169" priority="165" operator="equal">
      <formula>"Alto"</formula>
    </cfRule>
    <cfRule type="cellIs" dxfId="168" priority="166" operator="equal">
      <formula>"Moderado"</formula>
    </cfRule>
    <cfRule type="cellIs" dxfId="167" priority="167" operator="equal">
      <formula>"Bajo"</formula>
    </cfRule>
  </conditionalFormatting>
  <conditionalFormatting sqref="K148">
    <cfRule type="cellIs" dxfId="166" priority="159" operator="equal">
      <formula>"Muy Alta"</formula>
    </cfRule>
    <cfRule type="cellIs" dxfId="165" priority="160" operator="equal">
      <formula>"Alta"</formula>
    </cfRule>
    <cfRule type="cellIs" dxfId="164" priority="161" operator="equal">
      <formula>"Media"</formula>
    </cfRule>
    <cfRule type="cellIs" dxfId="163" priority="162" operator="equal">
      <formula>"Baja"</formula>
    </cfRule>
    <cfRule type="cellIs" dxfId="162" priority="163" operator="equal">
      <formula>"Muy Baja"</formula>
    </cfRule>
  </conditionalFormatting>
  <conditionalFormatting sqref="O148">
    <cfRule type="cellIs" dxfId="161" priority="154" operator="equal">
      <formula>"Catastrófico"</formula>
    </cfRule>
    <cfRule type="cellIs" dxfId="160" priority="155" operator="equal">
      <formula>"Mayor"</formula>
    </cfRule>
    <cfRule type="cellIs" dxfId="159" priority="156" operator="equal">
      <formula>"Moderado"</formula>
    </cfRule>
    <cfRule type="cellIs" dxfId="158" priority="157" operator="equal">
      <formula>"Menor"</formula>
    </cfRule>
    <cfRule type="cellIs" dxfId="157" priority="158" operator="equal">
      <formula>"Leve"</formula>
    </cfRule>
  </conditionalFormatting>
  <conditionalFormatting sqref="Q148">
    <cfRule type="cellIs" dxfId="156" priority="150" operator="equal">
      <formula>"Extremo"</formula>
    </cfRule>
    <cfRule type="cellIs" dxfId="155" priority="151" operator="equal">
      <formula>"Alto"</formula>
    </cfRule>
    <cfRule type="cellIs" dxfId="154" priority="152" operator="equal">
      <formula>"Moderado"</formula>
    </cfRule>
    <cfRule type="cellIs" dxfId="153" priority="153" operator="equal">
      <formula>"Bajo"</formula>
    </cfRule>
  </conditionalFormatting>
  <conditionalFormatting sqref="N148:N150">
    <cfRule type="containsText" dxfId="152" priority="149" operator="containsText" text="❌">
      <formula>NOT(ISERROR(SEARCH("❌",N148)))</formula>
    </cfRule>
  </conditionalFormatting>
  <conditionalFormatting sqref="AB148:AB150">
    <cfRule type="cellIs" dxfId="151" priority="144" operator="equal">
      <formula>"Muy Alta"</formula>
    </cfRule>
    <cfRule type="cellIs" dxfId="150" priority="145" operator="equal">
      <formula>"Alta"</formula>
    </cfRule>
    <cfRule type="cellIs" dxfId="149" priority="146" operator="equal">
      <formula>"Media"</formula>
    </cfRule>
    <cfRule type="cellIs" dxfId="148" priority="147" operator="equal">
      <formula>"Baja"</formula>
    </cfRule>
    <cfRule type="cellIs" dxfId="147" priority="148" operator="equal">
      <formula>"Muy Baja"</formula>
    </cfRule>
  </conditionalFormatting>
  <conditionalFormatting sqref="AD148:AD150">
    <cfRule type="cellIs" dxfId="146" priority="139" operator="equal">
      <formula>"Catastrófico"</formula>
    </cfRule>
    <cfRule type="cellIs" dxfId="145" priority="140" operator="equal">
      <formula>"Mayor"</formula>
    </cfRule>
    <cfRule type="cellIs" dxfId="144" priority="141" operator="equal">
      <formula>"Moderado"</formula>
    </cfRule>
    <cfRule type="cellIs" dxfId="143" priority="142" operator="equal">
      <formula>"Menor"</formula>
    </cfRule>
    <cfRule type="cellIs" dxfId="142" priority="143" operator="equal">
      <formula>"Leve"</formula>
    </cfRule>
  </conditionalFormatting>
  <conditionalFormatting sqref="AF148:AF150">
    <cfRule type="cellIs" dxfId="141" priority="135" operator="equal">
      <formula>"Extremo"</formula>
    </cfRule>
    <cfRule type="cellIs" dxfId="140" priority="136" operator="equal">
      <formula>"Alto"</formula>
    </cfRule>
    <cfRule type="cellIs" dxfId="139" priority="137" operator="equal">
      <formula>"Moderado"</formula>
    </cfRule>
    <cfRule type="cellIs" dxfId="138" priority="138" operator="equal">
      <formula>"Bajo"</formula>
    </cfRule>
  </conditionalFormatting>
  <conditionalFormatting sqref="N148:N150">
    <cfRule type="containsText" dxfId="137" priority="134" operator="containsText" text="❌">
      <formula>NOT(ISERROR(SEARCH("❌",N148)))</formula>
    </cfRule>
  </conditionalFormatting>
  <conditionalFormatting sqref="AB151">
    <cfRule type="cellIs" dxfId="136" priority="129" operator="equal">
      <formula>"Muy Alta"</formula>
    </cfRule>
    <cfRule type="cellIs" dxfId="135" priority="130" operator="equal">
      <formula>"Alta"</formula>
    </cfRule>
    <cfRule type="cellIs" dxfId="134" priority="131" operator="equal">
      <formula>"Media"</formula>
    </cfRule>
    <cfRule type="cellIs" dxfId="133" priority="132" operator="equal">
      <formula>"Baja"</formula>
    </cfRule>
    <cfRule type="cellIs" dxfId="132" priority="133" operator="equal">
      <formula>"Muy Baja"</formula>
    </cfRule>
  </conditionalFormatting>
  <conditionalFormatting sqref="AD151">
    <cfRule type="cellIs" dxfId="131" priority="124" operator="equal">
      <formula>"Catastrófico"</formula>
    </cfRule>
    <cfRule type="cellIs" dxfId="130" priority="125" operator="equal">
      <formula>"Mayor"</formula>
    </cfRule>
    <cfRule type="cellIs" dxfId="129" priority="126" operator="equal">
      <formula>"Moderado"</formula>
    </cfRule>
    <cfRule type="cellIs" dxfId="128" priority="127" operator="equal">
      <formula>"Menor"</formula>
    </cfRule>
    <cfRule type="cellIs" dxfId="127" priority="128" operator="equal">
      <formula>"Leve"</formula>
    </cfRule>
  </conditionalFormatting>
  <conditionalFormatting sqref="AF151">
    <cfRule type="cellIs" dxfId="126" priority="120" operator="equal">
      <formula>"Extremo"</formula>
    </cfRule>
    <cfRule type="cellIs" dxfId="125" priority="121" operator="equal">
      <formula>"Alto"</formula>
    </cfRule>
    <cfRule type="cellIs" dxfId="124" priority="122" operator="equal">
      <formula>"Moderado"</formula>
    </cfRule>
    <cfRule type="cellIs" dxfId="123" priority="123" operator="equal">
      <formula>"Bajo"</formula>
    </cfRule>
  </conditionalFormatting>
  <conditionalFormatting sqref="AB152">
    <cfRule type="cellIs" dxfId="122" priority="115" operator="equal">
      <formula>"Muy Alta"</formula>
    </cfRule>
    <cfRule type="cellIs" dxfId="121" priority="116" operator="equal">
      <formula>"Alta"</formula>
    </cfRule>
    <cfRule type="cellIs" dxfId="120" priority="117" operator="equal">
      <formula>"Media"</formula>
    </cfRule>
    <cfRule type="cellIs" dxfId="119" priority="118" operator="equal">
      <formula>"Baja"</formula>
    </cfRule>
    <cfRule type="cellIs" dxfId="118" priority="119" operator="equal">
      <formula>"Muy Baja"</formula>
    </cfRule>
  </conditionalFormatting>
  <conditionalFormatting sqref="AD152">
    <cfRule type="cellIs" dxfId="117" priority="110" operator="equal">
      <formula>"Catastrófico"</formula>
    </cfRule>
    <cfRule type="cellIs" dxfId="116" priority="111" operator="equal">
      <formula>"Mayor"</formula>
    </cfRule>
    <cfRule type="cellIs" dxfId="115" priority="112" operator="equal">
      <formula>"Moderado"</formula>
    </cfRule>
    <cfRule type="cellIs" dxfId="114" priority="113" operator="equal">
      <formula>"Menor"</formula>
    </cfRule>
    <cfRule type="cellIs" dxfId="113" priority="114" operator="equal">
      <formula>"Leve"</formula>
    </cfRule>
  </conditionalFormatting>
  <conditionalFormatting sqref="AF152">
    <cfRule type="cellIs" dxfId="112" priority="106" operator="equal">
      <formula>"Extremo"</formula>
    </cfRule>
    <cfRule type="cellIs" dxfId="111" priority="107" operator="equal">
      <formula>"Alto"</formula>
    </cfRule>
    <cfRule type="cellIs" dxfId="110" priority="108" operator="equal">
      <formula>"Moderado"</formula>
    </cfRule>
    <cfRule type="cellIs" dxfId="109" priority="109" operator="equal">
      <formula>"Bajo"</formula>
    </cfRule>
  </conditionalFormatting>
  <conditionalFormatting sqref="AB153">
    <cfRule type="cellIs" dxfId="108" priority="101" operator="equal">
      <formula>"Muy Alta"</formula>
    </cfRule>
    <cfRule type="cellIs" dxfId="107" priority="102" operator="equal">
      <formula>"Alta"</formula>
    </cfRule>
    <cfRule type="cellIs" dxfId="106" priority="103" operator="equal">
      <formula>"Media"</formula>
    </cfRule>
    <cfRule type="cellIs" dxfId="105" priority="104" operator="equal">
      <formula>"Baja"</formula>
    </cfRule>
    <cfRule type="cellIs" dxfId="104" priority="105" operator="equal">
      <formula>"Muy Baja"</formula>
    </cfRule>
  </conditionalFormatting>
  <conditionalFormatting sqref="AD153">
    <cfRule type="cellIs" dxfId="103" priority="96" operator="equal">
      <formula>"Catastrófico"</formula>
    </cfRule>
    <cfRule type="cellIs" dxfId="102" priority="97" operator="equal">
      <formula>"Mayor"</formula>
    </cfRule>
    <cfRule type="cellIs" dxfId="101" priority="98" operator="equal">
      <formula>"Moderado"</formula>
    </cfRule>
    <cfRule type="cellIs" dxfId="100" priority="99" operator="equal">
      <formula>"Menor"</formula>
    </cfRule>
    <cfRule type="cellIs" dxfId="99" priority="100" operator="equal">
      <formula>"Leve"</formula>
    </cfRule>
  </conditionalFormatting>
  <conditionalFormatting sqref="AF153">
    <cfRule type="cellIs" dxfId="98" priority="92" operator="equal">
      <formula>"Extremo"</formula>
    </cfRule>
    <cfRule type="cellIs" dxfId="97" priority="93" operator="equal">
      <formula>"Alto"</formula>
    </cfRule>
    <cfRule type="cellIs" dxfId="96" priority="94" operator="equal">
      <formula>"Moderado"</formula>
    </cfRule>
    <cfRule type="cellIs" dxfId="95" priority="95" operator="equal">
      <formula>"Bajo"</formula>
    </cfRule>
  </conditionalFormatting>
  <conditionalFormatting sqref="K151">
    <cfRule type="cellIs" dxfId="94" priority="87" operator="equal">
      <formula>"Muy Alta"</formula>
    </cfRule>
    <cfRule type="cellIs" dxfId="93" priority="88" operator="equal">
      <formula>"Alta"</formula>
    </cfRule>
    <cfRule type="cellIs" dxfId="92" priority="89" operator="equal">
      <formula>"Media"</formula>
    </cfRule>
    <cfRule type="cellIs" dxfId="91" priority="90" operator="equal">
      <formula>"Baja"</formula>
    </cfRule>
    <cfRule type="cellIs" dxfId="90" priority="91" operator="equal">
      <formula>"Muy Baja"</formula>
    </cfRule>
  </conditionalFormatting>
  <conditionalFormatting sqref="O151">
    <cfRule type="cellIs" dxfId="89" priority="82" operator="equal">
      <formula>"Catastrófico"</formula>
    </cfRule>
    <cfRule type="cellIs" dxfId="88" priority="83" operator="equal">
      <formula>"Mayor"</formula>
    </cfRule>
    <cfRule type="cellIs" dxfId="87" priority="84" operator="equal">
      <formula>"Moderado"</formula>
    </cfRule>
    <cfRule type="cellIs" dxfId="86" priority="85" operator="equal">
      <formula>"Menor"</formula>
    </cfRule>
    <cfRule type="cellIs" dxfId="85" priority="86" operator="equal">
      <formula>"Leve"</formula>
    </cfRule>
  </conditionalFormatting>
  <conditionalFormatting sqref="Q151">
    <cfRule type="cellIs" dxfId="84" priority="78" operator="equal">
      <formula>"Extremo"</formula>
    </cfRule>
    <cfRule type="cellIs" dxfId="83" priority="79" operator="equal">
      <formula>"Alto"</formula>
    </cfRule>
    <cfRule type="cellIs" dxfId="82" priority="80" operator="equal">
      <formula>"Moderado"</formula>
    </cfRule>
    <cfRule type="cellIs" dxfId="81" priority="81" operator="equal">
      <formula>"Bajo"</formula>
    </cfRule>
  </conditionalFormatting>
  <conditionalFormatting sqref="N151:N153">
    <cfRule type="containsText" dxfId="80" priority="77" operator="containsText" text="❌">
      <formula>NOT(ISERROR(SEARCH("❌",N151)))</formula>
    </cfRule>
  </conditionalFormatting>
  <conditionalFormatting sqref="AB151:AB153">
    <cfRule type="cellIs" dxfId="79" priority="72" operator="equal">
      <formula>"Muy Alta"</formula>
    </cfRule>
    <cfRule type="cellIs" dxfId="78" priority="73" operator="equal">
      <formula>"Alta"</formula>
    </cfRule>
    <cfRule type="cellIs" dxfId="77" priority="74" operator="equal">
      <formula>"Media"</formula>
    </cfRule>
    <cfRule type="cellIs" dxfId="76" priority="75" operator="equal">
      <formula>"Baja"</formula>
    </cfRule>
    <cfRule type="cellIs" dxfId="75" priority="76" operator="equal">
      <formula>"Muy Baja"</formula>
    </cfRule>
  </conditionalFormatting>
  <conditionalFormatting sqref="AD151:AD153">
    <cfRule type="cellIs" dxfId="74" priority="67" operator="equal">
      <formula>"Catastrófico"</formula>
    </cfRule>
    <cfRule type="cellIs" dxfId="73" priority="68" operator="equal">
      <formula>"Mayor"</formula>
    </cfRule>
    <cfRule type="cellIs" dxfId="72" priority="69" operator="equal">
      <formula>"Moderado"</formula>
    </cfRule>
    <cfRule type="cellIs" dxfId="71" priority="70" operator="equal">
      <formula>"Menor"</formula>
    </cfRule>
    <cfRule type="cellIs" dxfId="70" priority="71" operator="equal">
      <formula>"Leve"</formula>
    </cfRule>
  </conditionalFormatting>
  <conditionalFormatting sqref="AF151:AF153">
    <cfRule type="cellIs" dxfId="69" priority="63" operator="equal">
      <formula>"Extremo"</formula>
    </cfRule>
    <cfRule type="cellIs" dxfId="68" priority="64" operator="equal">
      <formula>"Alto"</formula>
    </cfRule>
    <cfRule type="cellIs" dxfId="67" priority="65" operator="equal">
      <formula>"Moderado"</formula>
    </cfRule>
    <cfRule type="cellIs" dxfId="66" priority="66" operator="equal">
      <formula>"Bajo"</formula>
    </cfRule>
  </conditionalFormatting>
  <conditionalFormatting sqref="N151:N153">
    <cfRule type="containsText" dxfId="65" priority="62" operator="containsText" text="❌">
      <formula>NOT(ISERROR(SEARCH("❌",N151)))</formula>
    </cfRule>
  </conditionalFormatting>
  <conditionalFormatting sqref="AB20">
    <cfRule type="cellIs" dxfId="64" priority="57" operator="equal">
      <formula>"Muy Alta"</formula>
    </cfRule>
    <cfRule type="cellIs" dxfId="63" priority="58" operator="equal">
      <formula>"Alta"</formula>
    </cfRule>
    <cfRule type="cellIs" dxfId="62" priority="59" operator="equal">
      <formula>"Media"</formula>
    </cfRule>
    <cfRule type="cellIs" dxfId="61" priority="60" operator="equal">
      <formula>"Baja"</formula>
    </cfRule>
    <cfRule type="cellIs" dxfId="60" priority="61" operator="equal">
      <formula>"Muy Baja"</formula>
    </cfRule>
  </conditionalFormatting>
  <conditionalFormatting sqref="AD20">
    <cfRule type="cellIs" dxfId="59" priority="52" operator="equal">
      <formula>"Catastrófico"</formula>
    </cfRule>
    <cfRule type="cellIs" dxfId="58" priority="53" operator="equal">
      <formula>"Mayor"</formula>
    </cfRule>
    <cfRule type="cellIs" dxfId="57" priority="54" operator="equal">
      <formula>"Moderado"</formula>
    </cfRule>
    <cfRule type="cellIs" dxfId="56" priority="55" operator="equal">
      <formula>"Menor"</formula>
    </cfRule>
    <cfRule type="cellIs" dxfId="55" priority="56" operator="equal">
      <formula>"Leve"</formula>
    </cfRule>
  </conditionalFormatting>
  <conditionalFormatting sqref="AF20">
    <cfRule type="cellIs" dxfId="54" priority="48" operator="equal">
      <formula>"Extremo"</formula>
    </cfRule>
    <cfRule type="cellIs" dxfId="53" priority="49" operator="equal">
      <formula>"Alto"</formula>
    </cfRule>
    <cfRule type="cellIs" dxfId="52" priority="50" operator="equal">
      <formula>"Moderado"</formula>
    </cfRule>
    <cfRule type="cellIs" dxfId="51" priority="51" operator="equal">
      <formula>"Bajo"</formula>
    </cfRule>
  </conditionalFormatting>
  <conditionalFormatting sqref="AB21">
    <cfRule type="cellIs" dxfId="50" priority="43" operator="equal">
      <formula>"Muy Alta"</formula>
    </cfRule>
    <cfRule type="cellIs" dxfId="49" priority="44" operator="equal">
      <formula>"Alta"</formula>
    </cfRule>
    <cfRule type="cellIs" dxfId="48" priority="45" operator="equal">
      <formula>"Media"</formula>
    </cfRule>
    <cfRule type="cellIs" dxfId="47" priority="46" operator="equal">
      <formula>"Baja"</formula>
    </cfRule>
    <cfRule type="cellIs" dxfId="46" priority="47" operator="equal">
      <formula>"Muy Baja"</formula>
    </cfRule>
  </conditionalFormatting>
  <conditionalFormatting sqref="AD21">
    <cfRule type="cellIs" dxfId="45" priority="38" operator="equal">
      <formula>"Catastrófico"</formula>
    </cfRule>
    <cfRule type="cellIs" dxfId="44" priority="39" operator="equal">
      <formula>"Mayor"</formula>
    </cfRule>
    <cfRule type="cellIs" dxfId="43" priority="40" operator="equal">
      <formula>"Moderado"</formula>
    </cfRule>
    <cfRule type="cellIs" dxfId="42" priority="41" operator="equal">
      <formula>"Menor"</formula>
    </cfRule>
    <cfRule type="cellIs" dxfId="41" priority="42" operator="equal">
      <formula>"Leve"</formula>
    </cfRule>
  </conditionalFormatting>
  <conditionalFormatting sqref="AF21">
    <cfRule type="cellIs" dxfId="40" priority="34" operator="equal">
      <formula>"Extremo"</formula>
    </cfRule>
    <cfRule type="cellIs" dxfId="39" priority="35" operator="equal">
      <formula>"Alto"</formula>
    </cfRule>
    <cfRule type="cellIs" dxfId="38" priority="36" operator="equal">
      <formula>"Moderado"</formula>
    </cfRule>
    <cfRule type="cellIs" dxfId="37" priority="37" operator="equal">
      <formula>"Bajo"</formula>
    </cfRule>
  </conditionalFormatting>
  <conditionalFormatting sqref="AB23">
    <cfRule type="cellIs" dxfId="36" priority="29" operator="equal">
      <formula>"Muy Alta"</formula>
    </cfRule>
    <cfRule type="cellIs" dxfId="35" priority="30" operator="equal">
      <formula>"Alta"</formula>
    </cfRule>
    <cfRule type="cellIs" dxfId="34" priority="31" operator="equal">
      <formula>"Media"</formula>
    </cfRule>
    <cfRule type="cellIs" dxfId="33" priority="32" operator="equal">
      <formula>"Baja"</formula>
    </cfRule>
    <cfRule type="cellIs" dxfId="32" priority="33" operator="equal">
      <formula>"Muy Baja"</formula>
    </cfRule>
  </conditionalFormatting>
  <conditionalFormatting sqref="AD23">
    <cfRule type="cellIs" dxfId="31" priority="24" operator="equal">
      <formula>"Catastrófico"</formula>
    </cfRule>
    <cfRule type="cellIs" dxfId="30" priority="25" operator="equal">
      <formula>"Mayor"</formula>
    </cfRule>
    <cfRule type="cellIs" dxfId="29" priority="26" operator="equal">
      <formula>"Moderado"</formula>
    </cfRule>
    <cfRule type="cellIs" dxfId="28" priority="27" operator="equal">
      <formula>"Menor"</formula>
    </cfRule>
    <cfRule type="cellIs" dxfId="27" priority="28" operator="equal">
      <formula>"Leve"</formula>
    </cfRule>
  </conditionalFormatting>
  <conditionalFormatting sqref="AF23">
    <cfRule type="cellIs" dxfId="26" priority="20" operator="equal">
      <formula>"Extremo"</formula>
    </cfRule>
    <cfRule type="cellIs" dxfId="25" priority="21" operator="equal">
      <formula>"Alto"</formula>
    </cfRule>
    <cfRule type="cellIs" dxfId="24" priority="22" operator="equal">
      <formula>"Moderado"</formula>
    </cfRule>
    <cfRule type="cellIs" dxfId="23" priority="23" operator="equal">
      <formula>"Bajo"</formula>
    </cfRule>
  </conditionalFormatting>
  <conditionalFormatting sqref="AB24">
    <cfRule type="cellIs" dxfId="22" priority="15" operator="equal">
      <formula>"Muy Alta"</formula>
    </cfRule>
    <cfRule type="cellIs" dxfId="21" priority="16" operator="equal">
      <formula>"Alta"</formula>
    </cfRule>
    <cfRule type="cellIs" dxfId="20" priority="17" operator="equal">
      <formula>"Media"</formula>
    </cfRule>
    <cfRule type="cellIs" dxfId="19" priority="18" operator="equal">
      <formula>"Baja"</formula>
    </cfRule>
    <cfRule type="cellIs" dxfId="18" priority="19" operator="equal">
      <formula>"Muy Baja"</formula>
    </cfRule>
  </conditionalFormatting>
  <conditionalFormatting sqref="AD24">
    <cfRule type="cellIs" dxfId="17" priority="10" operator="equal">
      <formula>"Catastrófico"</formula>
    </cfRule>
    <cfRule type="cellIs" dxfId="16" priority="11" operator="equal">
      <formula>"Mayor"</formula>
    </cfRule>
    <cfRule type="cellIs" dxfId="15" priority="12" operator="equal">
      <formula>"Moderado"</formula>
    </cfRule>
    <cfRule type="cellIs" dxfId="14" priority="13" operator="equal">
      <formula>"Menor"</formula>
    </cfRule>
    <cfRule type="cellIs" dxfId="13" priority="14" operator="equal">
      <formula>"Leve"</formula>
    </cfRule>
  </conditionalFormatting>
  <conditionalFormatting sqref="AF24">
    <cfRule type="cellIs" dxfId="12" priority="6" operator="equal">
      <formula>"Extremo"</formula>
    </cfRule>
    <cfRule type="cellIs" dxfId="11" priority="7" operator="equal">
      <formula>"Alto"</formula>
    </cfRule>
    <cfRule type="cellIs" dxfId="10" priority="8" operator="equal">
      <formula>"Moderado"</formula>
    </cfRule>
    <cfRule type="cellIs" dxfId="9" priority="9" operator="equal">
      <formula>"Bajo"</formula>
    </cfRule>
  </conditionalFormatting>
  <conditionalFormatting sqref="O7">
    <cfRule type="cellIs" dxfId="8" priority="1" operator="equal">
      <formula>"Catastrófico"</formula>
    </cfRule>
    <cfRule type="cellIs" dxfId="7" priority="2" operator="equal">
      <formula>"Mayor"</formula>
    </cfRule>
    <cfRule type="cellIs" dxfId="6" priority="3" operator="equal">
      <formula>"Moderado"</formula>
    </cfRule>
    <cfRule type="cellIs" dxfId="5" priority="4" operator="equal">
      <formula>"Menor"</formula>
    </cfRule>
    <cfRule type="cellIs" dxfId="4" priority="5" operator="equal">
      <formula>"Leve"</formula>
    </cfRule>
  </conditionalFormatting>
  <dataValidations count="1">
    <dataValidation allowBlank="1" showInputMessage="1" showErrorMessage="1" error="Recuerde que las acciones se generan bajo la medida de mitigar el riesgo" sqref="AL22 AL25 AL64 AH64 AH92:AK92 AL37 AL40" xr:uid="{00000000-0002-0000-0100-000000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100-000001000000}">
          <x14:formula1>
            <xm:f>'Opciones Tratamiento'!$B$9:$B$10</xm:f>
          </x14:formula1>
          <xm:sqref>AM7:AM12 AM16:AM33 AM36:AM153</xm:sqref>
        </x14:dataValidation>
        <x14:dataValidation type="list" allowBlank="1" showInputMessage="1" showErrorMessage="1" xr:uid="{00000000-0002-0000-0100-000002000000}">
          <x14:formula1>
            <xm:f>'Opciones Tratamiento'!$B$13:$B$19</xm:f>
          </x14:formula1>
          <xm:sqref>I7 I10 I13 I100 I16 I19 I22 I25 I28 I31 I34 I37 I40 I43 I46 I49 I52 I55 I58 I103 I61 I64 I67 I70 I73 I76 I79 I82 I85 I88 I91 I94 I97 I121 I106 I109 I112 I115 I118 I124 I127 I130 I133 I136 I139 I142 I145 I148 I151</xm:sqref>
        </x14:dataValidation>
        <x14:dataValidation type="list" allowBlank="1" showInputMessage="1" showErrorMessage="1" xr:uid="{00000000-0002-0000-0100-000003000000}">
          <x14:formula1>
            <xm:f>'Opciones Tratamiento'!$E$2:$E$4</xm:f>
          </x14:formula1>
          <xm:sqref>E7 E10 E13 E100 E16 E19 E22 E25 E28 E31 E34 E37 E40 E43 E46 E49 E52 E55 E58 E103 E61 E64 E67 E70 E73 E76 E79 E82 E85 E88 E91 E94 E97 E121 E106 E109 E112 E115 E118 E124 E127 E130 E133 E136 E139 E142 E145 E148 E151</xm:sqref>
        </x14:dataValidation>
        <x14:dataValidation type="list" allowBlank="1" showInputMessage="1" showErrorMessage="1" xr:uid="{00000000-0002-0000-0100-000004000000}">
          <x14:formula1>
            <xm:f>'Tabla Impacto'!$F$210:$F$221</xm:f>
          </x14:formula1>
          <xm:sqref>M7 M10 M13 M148 M16 M19 M22 M25 M28 M31 M34 M37 M40 M43 M46 M49 M52 M55 M58 M151 M61 M64 M67 M70 M73 M136 M139 M142 M145</xm:sqref>
        </x14:dataValidation>
        <x14:dataValidation type="custom" allowBlank="1" showInputMessage="1" showErrorMessage="1" error="Recuerde que las acciones se generan bajo la medida de mitigar el riesgo" xr:uid="{00000000-0002-0000-0100-000005000000}">
          <x14:formula1>
            <xm:f>IF(OR(AG8='Opciones Tratamiento'!$B$2,AG8='Opciones Tratamiento'!$B$3,AG8='Opciones Tratamiento'!$B$4),ISBLANK(AG8),ISTEXT(AG8))</xm:f>
          </x14:formula1>
          <xm:sqref>AH8:AH9 AH11:AH12 AH14:AH15 AH17:AH18 AH20:AH21 AH23:AH27 AH29:AH30 AH33 AH37:AH39 AH41:AH42 AH44:AH45 AH48 AH50:AH51 AH53:AH54 AH56:AH57 AH60 AH62:AH63 AH65:AH66 AH69 AH77:AH78 AH82:AH84 AH86:AH87 AH89:AH90 AH93 AH96 AH99 AH102 AH105 AH132 AH128:AH129 AH136:AH153 AH108 AH110:AH111 AH113:AH114 AH116:AH126</xm:sqref>
        </x14:dataValidation>
        <x14:dataValidation type="custom" allowBlank="1" showInputMessage="1" showErrorMessage="1" error="Recuerde que las acciones se generan bajo la medida de mitigar el riesgo" xr:uid="{00000000-0002-0000-0100-000006000000}">
          <x14:formula1>
            <xm:f>IF(OR(AG8='Opciones Tratamiento'!$B$2,AG8='Opciones Tratamiento'!$B$3,AG8='Opciones Tratamiento'!$B$4),ISBLANK(AG8),ISTEXT(AG8))</xm:f>
          </x14:formula1>
          <xm:sqref>AI8:AI9 AI11:AI12 AI14:AI15 AI17:AI18 AI20:AI21 AI23:AI24 AI26:AI27 AI29:AI30 AI33 AI116:AI126 AI41:AI42 AI44:AI45 AI48 AI50:AI51 AI53:AI54 AI56:AI57 AI60 AI62:AI63 AI65:AI66 AI69 AI77:AI78 AI82:AI84 AI86:AI87 AI89:AI90 AI93 AI96 AI99 AI102 AI105 AI131:AI153 AI128:AI129 AI108 AI110:AI111 AI113:AI114 AI38:AI39</xm:sqref>
        </x14:dataValidation>
        <x14:dataValidation type="custom" allowBlank="1" showInputMessage="1" showErrorMessage="1" error="Recuerde que las acciones se generan bajo la medida de mitigar el riesgo" xr:uid="{00000000-0002-0000-0100-000007000000}">
          <x14:formula1>
            <xm:f>IF(OR(AG8='Opciones Tratamiento'!$B$2,AG8='Opciones Tratamiento'!$B$3,AG8='Opciones Tratamiento'!$B$4),ISBLANK(AG8),ISTEXT(AG8))</xm:f>
          </x14:formula1>
          <xm:sqref>AJ8:AJ9 AJ11:AJ12 AJ14:AJ15 AJ17:AJ18 AJ20:AJ21 AJ23:AJ24 AJ26:AJ27 AJ29:AJ30 AJ33 AJ116:AJ126 AJ41:AJ42 AJ44:AJ45 AJ48 AJ50:AJ51 AJ53:AJ54 AJ56:AJ57 AJ60 AJ62:AJ63 AJ65:AJ66 AJ69 AJ77:AJ78 AJ82:AJ84 AJ86:AJ87 AJ89:AJ90 AJ93 AJ96 AJ99 AJ102 AJ105 AJ131:AJ153 AJ128:AJ129 AJ108 AJ110:AJ111 AJ113:AJ114 AJ38:AJ39</xm:sqref>
        </x14:dataValidation>
        <x14:dataValidation type="custom" allowBlank="1" showInputMessage="1" showErrorMessage="1" error="Recuerde que las acciones se generan bajo la medida de mitigar el riesgo" xr:uid="{00000000-0002-0000-0100-000008000000}">
          <x14:formula1>
            <xm:f>IF(OR(AG8='Opciones Tratamiento'!$B$2,AG8='Opciones Tratamiento'!$B$3,AG8='Opciones Tratamiento'!$B$4),ISBLANK(AG8),ISTEXT(AG8))</xm:f>
          </x14:formula1>
          <xm:sqref>AK8:AK9 AK11:AK12 AK14:AK15 AK17:AK18 AK20:AK21 AK23:AK24 AK26:AK27 AK29:AK30 AK33 AK116:AK126 AK41:AK42 AK44:AK45 AK48 AK50:AK51 AK53:AK54 AK56:AK57 AK60 AK62:AK63 AK65:AK66 AK69 AK77:AK78 AK82:AK84 AK86:AK87 AK89:AK90 AK93 AK96 AK99 AK102 AK105 AK131:AK153 AK128:AK129 AK108 AK110:AK111 AK113:AK114 AK38:AK39</xm:sqref>
        </x14:dataValidation>
        <x14:dataValidation type="custom" allowBlank="1" showInputMessage="1" showErrorMessage="1" error="Recuerde que las acciones se generan bajo la medida de mitigar el riesgo" xr:uid="{00000000-0002-0000-0100-000009000000}">
          <x14:formula1>
            <xm:f>IF(OR(AG8='Opciones Tratamiento'!$B$2,AG8='Opciones Tratamiento'!$B$3,AG8='Opciones Tratamiento'!$B$4),ISBLANK(AG8),ISTEXT(AG8))</xm:f>
          </x14:formula1>
          <xm:sqref>AL8:AL9 AL11:AL12 AL14:AL15 AL17:AL18 AL20:AL21 AL23:AL24 AL26:AL27 AL29:AL30 AL33 AL116:AL126 AL41:AL45 AL48 AL50:AL51 AL53:AL54 AL56:AL57 AL60 AL62:AL63 AL65:AL66 AL69 AL77:AL78 AL82:AL84 AL86:AL87 AL89:AL90 AL93:AL96 AL99 AL102 AL105 AL131:AL153 AL128:AL129 AL108 AL110:AL111 AL113:AL114 AL38:AL39</xm:sqref>
        </x14:dataValidation>
        <x14:dataValidation type="list" allowBlank="1" showInputMessage="1" showErrorMessage="1" xr:uid="{00000000-0002-0000-0100-00000A000000}">
          <x14:formula1>
            <xm:f>'[Mapa de riesgos institucional - Consolidado 12.10.2021.xlsx]Tabla Impacto'!#REF!</xm:f>
          </x14:formula1>
          <xm:sqref>M100 M103 M76 M79 M82 M85 M88 M91 M94 M97 M121 M106 M109 M112 M115 M118 M124 M127 M130 M133</xm:sqref>
        </x14:dataValidation>
        <x14:dataValidation type="custom" allowBlank="1" showInputMessage="1" showErrorMessage="1" error="Recuerde que las acciones se generan bajo la medida de mitigar el riesgo" xr:uid="{00000000-0002-0000-0100-00000B000000}">
          <x14:formula1>
            <xm:f>IF(OR(AG37='C:\Users\HP.DESKTOP-EGJVJ8T\Documents\EPQ 130521\Documentos\EPQ\ERU\Mapas de riesgo\2021\Revision\[MR Ejec Proy 2021.xlsx]Opciones Tratamiento'!#REF!,AG37='C:\Users\HP.DESKTOP-EGJVJ8T\Documents\EPQ 130521\Documentos\EPQ\ERU\Mapas de riesgo\2021\Revision\[MR Ejec Proy 2021.xlsx]Opciones Tratamiento'!#REF!,AG37='C:\Users\HP.DESKTOP-EGJVJ8T\Documents\EPQ 130521\Documentos\EPQ\ERU\Mapas de riesgo\2021\Revision\[MR Ejec Proy 2021.xlsx]Opciones Tratamiento'!#REF!),ISBLANK(AG37),ISTEXT(AG37))</xm:f>
          </x14:formula1>
          <xm:sqref>AK37</xm:sqref>
        </x14:dataValidation>
        <x14:dataValidation type="custom" allowBlank="1" showInputMessage="1" showErrorMessage="1" error="Recuerde que las acciones se generan bajo la medida de mitigar el riesgo" xr:uid="{00000000-0002-0000-0100-00000C000000}">
          <x14:formula1>
            <xm:f>IF(OR(AG37='C:\Users\HP.DESKTOP-EGJVJ8T\Documents\EPQ 130521\Documentos\EPQ\ERU\Mapas de riesgo\2021\Revision\[MR Ejec Proy 2021.xlsx]Opciones Tratamiento'!#REF!,AG37='C:\Users\HP.DESKTOP-EGJVJ8T\Documents\EPQ 130521\Documentos\EPQ\ERU\Mapas de riesgo\2021\Revision\[MR Ejec Proy 2021.xlsx]Opciones Tratamiento'!#REF!,AG37='C:\Users\HP.DESKTOP-EGJVJ8T\Documents\EPQ 130521\Documentos\EPQ\ERU\Mapas de riesgo\2021\Revision\[MR Ejec Proy 2021.xlsx]Opciones Tratamiento'!#REF!),ISBLANK(AG37),ISTEXT(AG37))</xm:f>
          </x14:formula1>
          <xm:sqref>AJ37</xm:sqref>
        </x14:dataValidation>
        <x14:dataValidation type="custom" allowBlank="1" showInputMessage="1" showErrorMessage="1" error="Recuerde que las acciones se generan bajo la medida de mitigar el riesgo" xr:uid="{00000000-0002-0000-0100-00000D000000}">
          <x14:formula1>
            <xm:f>IF(OR(AG37='C:\Users\HP.DESKTOP-EGJVJ8T\Documents\EPQ 130521\Documentos\EPQ\ERU\Mapas de riesgo\2021\Revision\[MR Ejec Proy 2021.xlsx]Opciones Tratamiento'!#REF!,AG37='C:\Users\HP.DESKTOP-EGJVJ8T\Documents\EPQ 130521\Documentos\EPQ\ERU\Mapas de riesgo\2021\Revision\[MR Ejec Proy 2021.xlsx]Opciones Tratamiento'!#REF!,AG37='C:\Users\HP.DESKTOP-EGJVJ8T\Documents\EPQ 130521\Documentos\EPQ\ERU\Mapas de riesgo\2021\Revision\[MR Ejec Proy 2021.xlsx]Opciones Tratamiento'!#REF!),ISBLANK(AG37),ISTEXT(AG37))</xm:f>
          </x14:formula1>
          <xm:sqref>AI37</xm:sqref>
        </x14:dataValidation>
        <x14:dataValidation type="list" allowBlank="1" showInputMessage="1" showErrorMessage="1" xr:uid="{00000000-0002-0000-0100-00000E000000}">
          <x14:formula1>
            <xm:f>'Tabla Valoración controles'!$D$4:$D$6</xm:f>
          </x14:formula1>
          <xm:sqref>U7:U153</xm:sqref>
        </x14:dataValidation>
        <x14:dataValidation type="list" allowBlank="1" showInputMessage="1" showErrorMessage="1" xr:uid="{00000000-0002-0000-0100-00000F000000}">
          <x14:formula1>
            <xm:f>'Tabla Valoración controles'!$D$7:$D$8</xm:f>
          </x14:formula1>
          <xm:sqref>V7:V153</xm:sqref>
        </x14:dataValidation>
        <x14:dataValidation type="list" allowBlank="1" showInputMessage="1" showErrorMessage="1" xr:uid="{00000000-0002-0000-0100-000010000000}">
          <x14:formula1>
            <xm:f>'Tabla Valoración controles'!$D$9:$D$10</xm:f>
          </x14:formula1>
          <xm:sqref>X7:X153</xm:sqref>
        </x14:dataValidation>
        <x14:dataValidation type="list" allowBlank="1" showInputMessage="1" showErrorMessage="1" xr:uid="{00000000-0002-0000-0100-000011000000}">
          <x14:formula1>
            <xm:f>'Tabla Valoración controles'!$D$11:$D$12</xm:f>
          </x14:formula1>
          <xm:sqref>Y7:Y153</xm:sqref>
        </x14:dataValidation>
        <x14:dataValidation type="list" allowBlank="1" showInputMessage="1" showErrorMessage="1" xr:uid="{00000000-0002-0000-0100-000012000000}">
          <x14:formula1>
            <xm:f>'Tabla Valoración controles'!$D$13:$D$14</xm:f>
          </x14:formula1>
          <xm:sqref>Z7:Z153</xm:sqref>
        </x14:dataValidation>
        <x14:dataValidation type="list" allowBlank="1" showInputMessage="1" showErrorMessage="1" xr:uid="{00000000-0002-0000-0100-000013000000}">
          <x14:formula1>
            <xm:f>'Opciones Tratamiento'!$B$2:$B$5</xm:f>
          </x14:formula1>
          <xm:sqref>AG7:AG153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O204"/>
  <sheetViews>
    <sheetView zoomScale="20" zoomScaleNormal="20" workbookViewId="0">
      <selection activeCell="Z66" sqref="Z66:AA67"/>
    </sheetView>
  </sheetViews>
  <sheetFormatPr baseColWidth="10" defaultRowHeight="15" x14ac:dyDescent="0.25"/>
  <cols>
    <col min="2" max="9" width="5.7109375" customWidth="1"/>
    <col min="10" max="59" width="8.7109375" customWidth="1"/>
    <col min="61" max="65" width="5.7109375" customWidth="1"/>
    <col min="66" max="66" width="20.7109375" customWidth="1"/>
  </cols>
  <sheetData>
    <row r="1" spans="1:119" x14ac:dyDescent="0.25">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row>
    <row r="2" spans="1:119" ht="18" customHeight="1" x14ac:dyDescent="0.25">
      <c r="A2" s="58"/>
      <c r="B2" s="354" t="s">
        <v>152</v>
      </c>
      <c r="C2" s="354"/>
      <c r="D2" s="354"/>
      <c r="E2" s="354"/>
      <c r="F2" s="354"/>
      <c r="G2" s="354"/>
      <c r="H2" s="354"/>
      <c r="I2" s="354"/>
      <c r="J2" s="355" t="s">
        <v>2</v>
      </c>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c r="AV2" s="355"/>
      <c r="AW2" s="355"/>
      <c r="AX2" s="355"/>
      <c r="AY2" s="355"/>
      <c r="AZ2" s="355"/>
      <c r="BA2" s="355"/>
      <c r="BB2" s="355"/>
      <c r="BC2" s="355"/>
      <c r="BD2" s="355"/>
      <c r="BE2" s="355"/>
      <c r="BF2" s="355"/>
      <c r="BG2" s="355"/>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row>
    <row r="3" spans="1:119" ht="18.75" customHeight="1" x14ac:dyDescent="0.25">
      <c r="A3" s="58"/>
      <c r="B3" s="354"/>
      <c r="C3" s="354"/>
      <c r="D3" s="354"/>
      <c r="E3" s="354"/>
      <c r="F3" s="354"/>
      <c r="G3" s="354"/>
      <c r="H3" s="354"/>
      <c r="I3" s="354"/>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c r="AP3" s="355"/>
      <c r="AQ3" s="355"/>
      <c r="AR3" s="355"/>
      <c r="AS3" s="355"/>
      <c r="AT3" s="355"/>
      <c r="AU3" s="355"/>
      <c r="AV3" s="355"/>
      <c r="AW3" s="355"/>
      <c r="AX3" s="355"/>
      <c r="AY3" s="355"/>
      <c r="AZ3" s="355"/>
      <c r="BA3" s="355"/>
      <c r="BB3" s="355"/>
      <c r="BC3" s="355"/>
      <c r="BD3" s="355"/>
      <c r="BE3" s="355"/>
      <c r="BF3" s="355"/>
      <c r="BG3" s="355"/>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row>
    <row r="4" spans="1:119" ht="15" customHeight="1" x14ac:dyDescent="0.25">
      <c r="A4" s="58"/>
      <c r="B4" s="354"/>
      <c r="C4" s="354"/>
      <c r="D4" s="354"/>
      <c r="E4" s="354"/>
      <c r="F4" s="354"/>
      <c r="G4" s="354"/>
      <c r="H4" s="354"/>
      <c r="I4" s="354"/>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c r="AP4" s="355"/>
      <c r="AQ4" s="355"/>
      <c r="AR4" s="355"/>
      <c r="AS4" s="355"/>
      <c r="AT4" s="355"/>
      <c r="AU4" s="355"/>
      <c r="AV4" s="355"/>
      <c r="AW4" s="355"/>
      <c r="AX4" s="355"/>
      <c r="AY4" s="355"/>
      <c r="AZ4" s="355"/>
      <c r="BA4" s="355"/>
      <c r="BB4" s="355"/>
      <c r="BC4" s="355"/>
      <c r="BD4" s="355"/>
      <c r="BE4" s="355"/>
      <c r="BF4" s="355"/>
      <c r="BG4" s="355"/>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row>
    <row r="5" spans="1:119" ht="15.75" thickBot="1" x14ac:dyDescent="0.3">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row>
    <row r="6" spans="1:119" ht="15" customHeight="1" x14ac:dyDescent="0.25">
      <c r="A6" s="58"/>
      <c r="B6" s="356" t="s">
        <v>4</v>
      </c>
      <c r="C6" s="356"/>
      <c r="D6" s="357"/>
      <c r="E6" s="329" t="s">
        <v>110</v>
      </c>
      <c r="F6" s="330"/>
      <c r="G6" s="330"/>
      <c r="H6" s="330"/>
      <c r="I6" s="336"/>
      <c r="J6" s="283" t="str">
        <f>IF(AND('Mapa final'!$K$7="Muy Alta",'Mapa final'!$O$7="Leve"),CONCATENATE("R",'Mapa final'!$A$7),"")</f>
        <v/>
      </c>
      <c r="K6" s="284"/>
      <c r="L6" s="284" t="str">
        <f>IF(AND('Mapa final'!$K$10="Muy Alta",'Mapa final'!$O$10="Leve"),CONCATENATE("R",'Mapa final'!$A$10),"")</f>
        <v/>
      </c>
      <c r="M6" s="284"/>
      <c r="N6" s="284" t="str">
        <f>IF(AND('Mapa final'!$K$13="Muy Alta",'Mapa final'!$O$13="Leve"),CONCATENATE("R",'Mapa final'!$A$13),"")</f>
        <v/>
      </c>
      <c r="O6" s="284"/>
      <c r="P6" s="284" t="str">
        <f>IF(AND('Mapa final'!$K$16="Muy Alta",'Mapa final'!$O$16="Leve"),CONCATENATE("R",'Mapa final'!$A$16),"")</f>
        <v/>
      </c>
      <c r="Q6" s="284"/>
      <c r="R6" s="284" t="str">
        <f>IF(AND('Mapa final'!$K$19="Muy Alta",'Mapa final'!$O$19="Leve"),CONCATENATE("R",'Mapa final'!$A$19),"")</f>
        <v/>
      </c>
      <c r="S6" s="284"/>
      <c r="T6" s="283" t="str">
        <f>IF(AND('Mapa final'!$K$7="Muy Alta",'Mapa final'!$O$7="Menor"),CONCATENATE("R",'Mapa final'!$A$7),"")</f>
        <v/>
      </c>
      <c r="U6" s="284"/>
      <c r="V6" s="284" t="str">
        <f>IF(AND('Mapa final'!$K$10="Muy Alta",'Mapa final'!$O$10="Menor"),CONCATENATE("R",'Mapa final'!$A$10),"")</f>
        <v/>
      </c>
      <c r="W6" s="284"/>
      <c r="X6" s="284" t="str">
        <f>IF(AND('Mapa final'!$K$13="Muy Alta",'Mapa final'!$O$13="Menor"),CONCATENATE("R",'Mapa final'!$A$13),"")</f>
        <v/>
      </c>
      <c r="Y6" s="284"/>
      <c r="Z6" s="284" t="str">
        <f>IF(AND('Mapa final'!$K$16="Muy Alta",'Mapa final'!$O$16="Menor"),CONCATENATE("R",'Mapa final'!$A$16),"")</f>
        <v/>
      </c>
      <c r="AA6" s="284"/>
      <c r="AB6" s="284" t="str">
        <f>IF(AND('Mapa final'!$K$19="Muy Alta",'Mapa final'!$O$19="Menor"),CONCATENATE("R",'Mapa final'!$A$19),"")</f>
        <v/>
      </c>
      <c r="AC6" s="284"/>
      <c r="AD6" s="283" t="str">
        <f>IF(AND('Mapa final'!$K$7="Muy Alta",'Mapa final'!$O$7="Moderado"),CONCATENATE("R",'Mapa final'!$A$7),"")</f>
        <v/>
      </c>
      <c r="AE6" s="284"/>
      <c r="AF6" s="284" t="str">
        <f>IF(AND('Mapa final'!$K$10="Muy Alta",'Mapa final'!$O$10="Moderado"),CONCATENATE("R",'Mapa final'!$A$10),"")</f>
        <v/>
      </c>
      <c r="AG6" s="284"/>
      <c r="AH6" s="284" t="str">
        <f>IF(AND('Mapa final'!$K$13="Muy Alta",'Mapa final'!$O$13="Moderado"),CONCATENATE("R",'Mapa final'!$A$13),"")</f>
        <v/>
      </c>
      <c r="AI6" s="284"/>
      <c r="AJ6" s="284" t="str">
        <f>IF(AND('Mapa final'!$K$16="Muy Alta",'Mapa final'!$O$16="Moderado"),CONCATENATE("R",'Mapa final'!$A$16),"")</f>
        <v/>
      </c>
      <c r="AK6" s="284"/>
      <c r="AL6" s="284" t="str">
        <f>IF(AND('Mapa final'!$K$19="Muy Alta",'Mapa final'!$O$19="Moderado"),CONCATENATE("R",'Mapa final'!$A$19),"")</f>
        <v/>
      </c>
      <c r="AM6" s="284"/>
      <c r="AN6" s="283" t="str">
        <f>IF(AND('Mapa final'!$K$7="Muy Alta",'Mapa final'!$O$7="Mayor"),CONCATENATE("R",'Mapa final'!$A$7),"")</f>
        <v/>
      </c>
      <c r="AO6" s="284"/>
      <c r="AP6" s="284" t="str">
        <f>IF(AND('Mapa final'!$K$10="Muy Alta",'Mapa final'!$O$10="Mayor"),CONCATENATE("R",'Mapa final'!$A$10),"")</f>
        <v/>
      </c>
      <c r="AQ6" s="284"/>
      <c r="AR6" s="284" t="str">
        <f>IF(AND('Mapa final'!$K$13="Muy Alta",'Mapa final'!$O$13="Mayor"),CONCATENATE("R",'Mapa final'!$A$13),"")</f>
        <v/>
      </c>
      <c r="AS6" s="284"/>
      <c r="AT6" s="284" t="str">
        <f>IF(AND('Mapa final'!$K$16="Muy Alta",'Mapa final'!$O$16="Mayor"),CONCATENATE("R",'Mapa final'!$A$16),"")</f>
        <v/>
      </c>
      <c r="AU6" s="284"/>
      <c r="AV6" s="284" t="str">
        <f>IF(AND('Mapa final'!$K$19="Muy Alta",'Mapa final'!$O$19="Mayor"),CONCATENATE("R",'Mapa final'!$A$19),"")</f>
        <v/>
      </c>
      <c r="AW6" s="284"/>
      <c r="AX6" s="288" t="str">
        <f>IF(AND('Mapa final'!$K$7="Muy Alta",'Mapa final'!$O$7="Catastrófico"),CONCATENATE("R",'Mapa final'!$A$7),"")</f>
        <v/>
      </c>
      <c r="AY6" s="289"/>
      <c r="AZ6" s="289" t="str">
        <f>IF(AND('Mapa final'!$K$10="Muy Alta",'Mapa final'!$O$10="Catastrófico"),CONCATENATE("R",'Mapa final'!$A$10),"")</f>
        <v/>
      </c>
      <c r="BA6" s="289"/>
      <c r="BB6" s="289" t="str">
        <f>IF(AND('Mapa final'!$K$13="Muy Alta",'Mapa final'!$O$13="Catastrófico"),CONCATENATE("R",'Mapa final'!$A$13),"")</f>
        <v/>
      </c>
      <c r="BC6" s="289"/>
      <c r="BD6" s="289" t="str">
        <f>IF(AND('Mapa final'!$K$16="Muy Alta",'Mapa final'!$O$16="Catastrófico"),CONCATENATE("R",'Mapa final'!$A$16),"")</f>
        <v/>
      </c>
      <c r="BE6" s="289"/>
      <c r="BF6" s="289" t="str">
        <f>IF(AND('Mapa final'!$K$19="Muy Alta",'Mapa final'!$O$19="Catastrófico"),CONCATENATE("R",'Mapa final'!$A$19),"")</f>
        <v/>
      </c>
      <c r="BG6" s="347"/>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row>
    <row r="7" spans="1:119" ht="15" customHeight="1" x14ac:dyDescent="0.25">
      <c r="A7" s="58"/>
      <c r="B7" s="356"/>
      <c r="C7" s="356"/>
      <c r="D7" s="357"/>
      <c r="E7" s="331"/>
      <c r="F7" s="332"/>
      <c r="G7" s="332"/>
      <c r="H7" s="332"/>
      <c r="I7" s="337"/>
      <c r="J7" s="275"/>
      <c r="K7" s="273"/>
      <c r="L7" s="273"/>
      <c r="M7" s="273"/>
      <c r="N7" s="273"/>
      <c r="O7" s="273"/>
      <c r="P7" s="273"/>
      <c r="Q7" s="273"/>
      <c r="R7" s="273"/>
      <c r="S7" s="273"/>
      <c r="T7" s="275"/>
      <c r="U7" s="273"/>
      <c r="V7" s="273"/>
      <c r="W7" s="273"/>
      <c r="X7" s="273"/>
      <c r="Y7" s="273"/>
      <c r="Z7" s="273"/>
      <c r="AA7" s="273"/>
      <c r="AB7" s="273"/>
      <c r="AC7" s="273"/>
      <c r="AD7" s="275"/>
      <c r="AE7" s="273"/>
      <c r="AF7" s="273"/>
      <c r="AG7" s="273"/>
      <c r="AH7" s="273"/>
      <c r="AI7" s="273"/>
      <c r="AJ7" s="273"/>
      <c r="AK7" s="273"/>
      <c r="AL7" s="273"/>
      <c r="AM7" s="273"/>
      <c r="AN7" s="275"/>
      <c r="AO7" s="273"/>
      <c r="AP7" s="273"/>
      <c r="AQ7" s="273"/>
      <c r="AR7" s="273"/>
      <c r="AS7" s="273"/>
      <c r="AT7" s="273"/>
      <c r="AU7" s="273"/>
      <c r="AV7" s="273"/>
      <c r="AW7" s="273"/>
      <c r="AX7" s="285"/>
      <c r="AY7" s="267"/>
      <c r="AZ7" s="267"/>
      <c r="BA7" s="267"/>
      <c r="BB7" s="267"/>
      <c r="BC7" s="267"/>
      <c r="BD7" s="267"/>
      <c r="BE7" s="267"/>
      <c r="BF7" s="267"/>
      <c r="BG7" s="286"/>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row>
    <row r="8" spans="1:119" ht="15" customHeight="1" x14ac:dyDescent="0.25">
      <c r="A8" s="58"/>
      <c r="B8" s="356"/>
      <c r="C8" s="356"/>
      <c r="D8" s="357"/>
      <c r="E8" s="331"/>
      <c r="F8" s="332"/>
      <c r="G8" s="332"/>
      <c r="H8" s="332"/>
      <c r="I8" s="337"/>
      <c r="J8" s="275" t="str">
        <f>IF(AND('Mapa final'!$K$22="Muy Alta",'Mapa final'!$O$22="Leve"),CONCATENATE("R",'Mapa final'!$A$22),"")</f>
        <v/>
      </c>
      <c r="K8" s="273"/>
      <c r="L8" s="273" t="str">
        <f>IF(AND('Mapa final'!$K$25="Muy Alta",'Mapa final'!$O$25="Leve"),CONCATENATE("R",'Mapa final'!$A$25),"")</f>
        <v/>
      </c>
      <c r="M8" s="273"/>
      <c r="N8" s="273" t="str">
        <f>IF(AND('Mapa final'!$K$28="Muy Alta",'Mapa final'!$O$28="Leve"),CONCATENATE("R",'Mapa final'!$A$28),"")</f>
        <v/>
      </c>
      <c r="O8" s="273"/>
      <c r="P8" s="273" t="str">
        <f>IF(AND('Mapa final'!$K$31="Muy Alta",'Mapa final'!$O$31="Leve"),CONCATENATE("R",'Mapa final'!$A$31),"")</f>
        <v/>
      </c>
      <c r="Q8" s="273"/>
      <c r="R8" s="273" t="str">
        <f>IF(AND('Mapa final'!$K$34="Muy Alta",'Mapa final'!$O$34="Leve"),CONCATENATE("R",'Mapa final'!$A$34),"")</f>
        <v/>
      </c>
      <c r="S8" s="273"/>
      <c r="T8" s="275" t="str">
        <f>IF(AND('Mapa final'!$K$22="Muy Alta",'Mapa final'!$O$22="Menor"),CONCATENATE("R",'Mapa final'!$A$22),"")</f>
        <v/>
      </c>
      <c r="U8" s="273"/>
      <c r="V8" s="273" t="str">
        <f>IF(AND('Mapa final'!$K$25="Muy Alta",'Mapa final'!$O$25="Menor"),CONCATENATE("R",'Mapa final'!$A$25),"")</f>
        <v/>
      </c>
      <c r="W8" s="273"/>
      <c r="X8" s="273" t="str">
        <f>IF(AND('Mapa final'!$K$28="Muy Alta",'Mapa final'!$O$28="Menor"),CONCATENATE("R",'Mapa final'!$A$28),"")</f>
        <v/>
      </c>
      <c r="Y8" s="273"/>
      <c r="Z8" s="273" t="str">
        <f>IF(AND('Mapa final'!$K$31="Muy Alta",'Mapa final'!$O$31="Menor"),CONCATENATE("R",'Mapa final'!$A$31),"")</f>
        <v/>
      </c>
      <c r="AA8" s="273"/>
      <c r="AB8" s="273" t="str">
        <f>IF(AND('Mapa final'!$K$34="Muy Alta",'Mapa final'!$O$34="Menor"),CONCATENATE("R",'Mapa final'!$A$34),"")</f>
        <v/>
      </c>
      <c r="AC8" s="273"/>
      <c r="AD8" s="275" t="str">
        <f>IF(AND('Mapa final'!$K$22="Muy Alta",'Mapa final'!$O$22="Moderado"),CONCATENATE("R",'Mapa final'!$A$22),"")</f>
        <v/>
      </c>
      <c r="AE8" s="273"/>
      <c r="AF8" s="273" t="str">
        <f>IF(AND('Mapa final'!$K$25="Muy Alta",'Mapa final'!$O$25="Moderado"),CONCATENATE("R",'Mapa final'!$A$25),"")</f>
        <v/>
      </c>
      <c r="AG8" s="273"/>
      <c r="AH8" s="273" t="str">
        <f>IF(AND('Mapa final'!$K$28="Muy Alta",'Mapa final'!$O$28="Moderado"),CONCATENATE("R",'Mapa final'!$A$28),"")</f>
        <v/>
      </c>
      <c r="AI8" s="273"/>
      <c r="AJ8" s="273" t="str">
        <f>IF(AND('Mapa final'!$K$31="Muy Alta",'Mapa final'!$O$31="Moderado"),CONCATENATE("R",'Mapa final'!$A$31),"")</f>
        <v/>
      </c>
      <c r="AK8" s="273"/>
      <c r="AL8" s="273" t="str">
        <f>IF(AND('Mapa final'!$K$34="Muy Alta",'Mapa final'!$O$34="Moderado"),CONCATENATE("R",'Mapa final'!$A$34),"")</f>
        <v/>
      </c>
      <c r="AM8" s="273"/>
      <c r="AN8" s="275" t="str">
        <f>IF(AND('Mapa final'!$K$22="Muy Alta",'Mapa final'!$O$22="Mayor"),CONCATENATE("R",'Mapa final'!$A$22),"")</f>
        <v/>
      </c>
      <c r="AO8" s="273"/>
      <c r="AP8" s="273" t="str">
        <f>IF(AND('Mapa final'!$K$25="Muy Alta",'Mapa final'!$O$25="Mayor"),CONCATENATE("R",'Mapa final'!$A$25),"")</f>
        <v/>
      </c>
      <c r="AQ8" s="273"/>
      <c r="AR8" s="273" t="str">
        <f>IF(AND('Mapa final'!$K$28="Muy Alta",'Mapa final'!$O$28="Mayor"),CONCATENATE("R",'Mapa final'!$A$28),"")</f>
        <v/>
      </c>
      <c r="AS8" s="273"/>
      <c r="AT8" s="273" t="str">
        <f>IF(AND('Mapa final'!$K$31="Muy Alta",'Mapa final'!$O$31="Mayor"),CONCATENATE("R",'Mapa final'!$A$31),"")</f>
        <v/>
      </c>
      <c r="AU8" s="273"/>
      <c r="AV8" s="273" t="str">
        <f>IF(AND('Mapa final'!$K$34="Muy Alta",'Mapa final'!$O$34="Mayor"),CONCATENATE("R",'Mapa final'!$A$34),"")</f>
        <v/>
      </c>
      <c r="AW8" s="273"/>
      <c r="AX8" s="285" t="str">
        <f>IF(AND('Mapa final'!$K$22="Muy Alta",'Mapa final'!$O$22="Catastrófico"),CONCATENATE("R",'Mapa final'!$A$22),"")</f>
        <v/>
      </c>
      <c r="AY8" s="267"/>
      <c r="AZ8" s="267" t="str">
        <f>IF(AND('Mapa final'!$K$25="Muy Alta",'Mapa final'!$O$25="Catastrófico"),CONCATENATE("R",'Mapa final'!$A$25),"")</f>
        <v/>
      </c>
      <c r="BA8" s="267"/>
      <c r="BB8" s="267" t="str">
        <f>IF(AND('Mapa final'!$K$28="Muy Alta",'Mapa final'!$O$28="Catastrófico"),CONCATENATE("R",'Mapa final'!$A$28),"")</f>
        <v/>
      </c>
      <c r="BC8" s="267"/>
      <c r="BD8" s="267" t="str">
        <f>IF(AND('Mapa final'!$K$31="Muy Alta",'Mapa final'!$O$31="Catastrófico"),CONCATENATE("R",'Mapa final'!$A$31),"")</f>
        <v/>
      </c>
      <c r="BE8" s="267"/>
      <c r="BF8" s="267" t="str">
        <f>IF(AND('Mapa final'!$K$34="Muy Alta",'Mapa final'!$O$34="Catastrófico"),CONCATENATE("R",'Mapa final'!$A$34),"")</f>
        <v/>
      </c>
      <c r="BG8" s="286"/>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row>
    <row r="9" spans="1:119" ht="15" customHeight="1" x14ac:dyDescent="0.25">
      <c r="A9" s="58"/>
      <c r="B9" s="356"/>
      <c r="C9" s="356"/>
      <c r="D9" s="357"/>
      <c r="E9" s="331"/>
      <c r="F9" s="332"/>
      <c r="G9" s="332"/>
      <c r="H9" s="332"/>
      <c r="I9" s="337"/>
      <c r="J9" s="275"/>
      <c r="K9" s="273"/>
      <c r="L9" s="273"/>
      <c r="M9" s="273"/>
      <c r="N9" s="273"/>
      <c r="O9" s="273"/>
      <c r="P9" s="273"/>
      <c r="Q9" s="273"/>
      <c r="R9" s="273"/>
      <c r="S9" s="273"/>
      <c r="T9" s="275"/>
      <c r="U9" s="273"/>
      <c r="V9" s="273"/>
      <c r="W9" s="273"/>
      <c r="X9" s="273"/>
      <c r="Y9" s="273"/>
      <c r="Z9" s="273"/>
      <c r="AA9" s="273"/>
      <c r="AB9" s="273"/>
      <c r="AC9" s="273"/>
      <c r="AD9" s="275"/>
      <c r="AE9" s="273"/>
      <c r="AF9" s="273"/>
      <c r="AG9" s="273"/>
      <c r="AH9" s="273"/>
      <c r="AI9" s="273"/>
      <c r="AJ9" s="273"/>
      <c r="AK9" s="273"/>
      <c r="AL9" s="273"/>
      <c r="AM9" s="273"/>
      <c r="AN9" s="275"/>
      <c r="AO9" s="273"/>
      <c r="AP9" s="273"/>
      <c r="AQ9" s="273"/>
      <c r="AR9" s="273"/>
      <c r="AS9" s="273"/>
      <c r="AT9" s="273"/>
      <c r="AU9" s="273"/>
      <c r="AV9" s="273"/>
      <c r="AW9" s="273"/>
      <c r="AX9" s="285"/>
      <c r="AY9" s="267"/>
      <c r="AZ9" s="267"/>
      <c r="BA9" s="267"/>
      <c r="BB9" s="267"/>
      <c r="BC9" s="267"/>
      <c r="BD9" s="267"/>
      <c r="BE9" s="267"/>
      <c r="BF9" s="267"/>
      <c r="BG9" s="286"/>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row>
    <row r="10" spans="1:119" ht="15" customHeight="1" x14ac:dyDescent="0.25">
      <c r="A10" s="58"/>
      <c r="B10" s="356"/>
      <c r="C10" s="356"/>
      <c r="D10" s="357"/>
      <c r="E10" s="331"/>
      <c r="F10" s="332"/>
      <c r="G10" s="332"/>
      <c r="H10" s="332"/>
      <c r="I10" s="337"/>
      <c r="J10" s="275" t="str">
        <f>IF(AND('Mapa final'!$K$37="Muy Alta",'Mapa final'!$O$37="Leve"),CONCATENATE("R",'Mapa final'!$A$37),"")</f>
        <v/>
      </c>
      <c r="K10" s="273"/>
      <c r="L10" s="273" t="str">
        <f>IF(AND('Mapa final'!$K$40="Muy Alta",'Mapa final'!$O$40="Leve"),CONCATENATE("R",'Mapa final'!$A$40),"")</f>
        <v/>
      </c>
      <c r="M10" s="273"/>
      <c r="N10" s="273" t="str">
        <f>IF(AND('Mapa final'!$K$43="Muy Alta",'Mapa final'!$O$43="Leve"),CONCATENATE("R",'Mapa final'!$A$43),"")</f>
        <v/>
      </c>
      <c r="O10" s="273"/>
      <c r="P10" s="273" t="e">
        <f>IF(AND('Mapa final'!#REF!="Muy Alta",'Mapa final'!#REF!="Leve"),CONCATENATE("R",'Mapa final'!#REF!),"")</f>
        <v>#REF!</v>
      </c>
      <c r="Q10" s="273"/>
      <c r="R10" s="273" t="str">
        <f>IF(AND('Mapa final'!$K$46="Muy Alta",'Mapa final'!$O$46="Leve"),CONCATENATE("R",'Mapa final'!$A$46),"")</f>
        <v/>
      </c>
      <c r="S10" s="273"/>
      <c r="T10" s="275" t="str">
        <f>IF(AND('Mapa final'!$K$37="Muy Alta",'Mapa final'!$O$37="Menor"),CONCATENATE("R",'Mapa final'!$A$37),"")</f>
        <v/>
      </c>
      <c r="U10" s="273"/>
      <c r="V10" s="273" t="str">
        <f>IF(AND('Mapa final'!$K$40="Muy Alta",'Mapa final'!$O$40="Menor"),CONCATENATE("R",'Mapa final'!$A$40),"")</f>
        <v/>
      </c>
      <c r="W10" s="273"/>
      <c r="X10" s="273" t="str">
        <f>IF(AND('Mapa final'!$K$43="Muy Alta",'Mapa final'!$O$43="Menor"),CONCATENATE("R",'Mapa final'!$A$43),"")</f>
        <v/>
      </c>
      <c r="Y10" s="273"/>
      <c r="Z10" s="273" t="e">
        <f>IF(AND('Mapa final'!#REF!="Muy Alta",'Mapa final'!#REF!="Menor"),CONCATENATE("R",'Mapa final'!#REF!),"")</f>
        <v>#REF!</v>
      </c>
      <c r="AA10" s="273"/>
      <c r="AB10" s="273" t="str">
        <f>IF(AND('Mapa final'!$K$46="Muy Alta",'Mapa final'!$O$46="Menor"),CONCATENATE("R",'Mapa final'!$A$46),"")</f>
        <v/>
      </c>
      <c r="AC10" s="273"/>
      <c r="AD10" s="275" t="str">
        <f>IF(AND('Mapa final'!$K$37="Muy Alta",'Mapa final'!$O$37="Moderado"),CONCATENATE("R",'Mapa final'!$A$37),"")</f>
        <v/>
      </c>
      <c r="AE10" s="273"/>
      <c r="AF10" s="273" t="str">
        <f>IF(AND('Mapa final'!$K$40="Muy Alta",'Mapa final'!$O$40="Moderado"),CONCATENATE("R",'Mapa final'!$A$40),"")</f>
        <v/>
      </c>
      <c r="AG10" s="273"/>
      <c r="AH10" s="273" t="str">
        <f>IF(AND('Mapa final'!$K$43="Muy Alta",'Mapa final'!$O$43="Moderado"),CONCATENATE("R",'Mapa final'!$A$43),"")</f>
        <v/>
      </c>
      <c r="AI10" s="273"/>
      <c r="AJ10" s="273" t="e">
        <f>IF(AND('Mapa final'!#REF!="Muy Alta",'Mapa final'!#REF!="Moderado"),CONCATENATE("R",'Mapa final'!#REF!),"")</f>
        <v>#REF!</v>
      </c>
      <c r="AK10" s="273"/>
      <c r="AL10" s="273" t="str">
        <f>IF(AND('Mapa final'!$K$46="Muy Alta",'Mapa final'!$O$46="Moderado"),CONCATENATE("R",'Mapa final'!$A$46),"")</f>
        <v/>
      </c>
      <c r="AM10" s="273"/>
      <c r="AN10" s="275" t="str">
        <f>IF(AND('Mapa final'!$K$37="Muy Alta",'Mapa final'!$O$37="Mayor"),CONCATENATE("R",'Mapa final'!$A$37),"")</f>
        <v/>
      </c>
      <c r="AO10" s="273"/>
      <c r="AP10" s="273" t="str">
        <f>IF(AND('Mapa final'!$K$40="Muy Alta",'Mapa final'!$O$40="Mayor"),CONCATENATE("R",'Mapa final'!$A$40),"")</f>
        <v/>
      </c>
      <c r="AQ10" s="273"/>
      <c r="AR10" s="273" t="str">
        <f>IF(AND('Mapa final'!$K$43="Muy Alta",'Mapa final'!$O$43="Mayor"),CONCATENATE("R",'Mapa final'!$A$43),"")</f>
        <v/>
      </c>
      <c r="AS10" s="273"/>
      <c r="AT10" s="273" t="e">
        <f>IF(AND('Mapa final'!#REF!="Muy Alta",'Mapa final'!#REF!="Mayor"),CONCATENATE("R",'Mapa final'!#REF!),"")</f>
        <v>#REF!</v>
      </c>
      <c r="AU10" s="273"/>
      <c r="AV10" s="273" t="str">
        <f>IF(AND('Mapa final'!$K$46="Muy Alta",'Mapa final'!$O$46="Mayor"),CONCATENATE("R",'Mapa final'!$A$46),"")</f>
        <v/>
      </c>
      <c r="AW10" s="273"/>
      <c r="AX10" s="285" t="str">
        <f>IF(AND('Mapa final'!$K$37="Muy Alta",'Mapa final'!$O$37="Catastrófico"),CONCATENATE("R",'Mapa final'!$A$37),"")</f>
        <v/>
      </c>
      <c r="AY10" s="267"/>
      <c r="AZ10" s="267" t="str">
        <f>IF(AND('Mapa final'!$K$40="Muy Alta",'Mapa final'!$O$40="Catastrófico"),CONCATENATE("R",'Mapa final'!$A$40),"")</f>
        <v/>
      </c>
      <c r="BA10" s="267"/>
      <c r="BB10" s="267" t="str">
        <f>IF(AND('Mapa final'!$K$43="Muy Alta",'Mapa final'!$O$43="Catastrófico"),CONCATENATE("R",'Mapa final'!$A$43),"")</f>
        <v/>
      </c>
      <c r="BC10" s="267"/>
      <c r="BD10" s="267" t="e">
        <f>IF(AND('Mapa final'!#REF!="Muy Alta",'Mapa final'!#REF!="Catastrófico"),CONCATENATE("R",'Mapa final'!#REF!),"")</f>
        <v>#REF!</v>
      </c>
      <c r="BE10" s="267"/>
      <c r="BF10" s="267" t="str">
        <f>IF(AND('Mapa final'!$K$46="Muy Alta",'Mapa final'!$O$46="Catastrófico"),CONCATENATE("R",'Mapa final'!$A$46),"")</f>
        <v/>
      </c>
      <c r="BG10" s="286"/>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row>
    <row r="11" spans="1:119" ht="15" customHeight="1" x14ac:dyDescent="0.25">
      <c r="A11" s="58"/>
      <c r="B11" s="356"/>
      <c r="C11" s="356"/>
      <c r="D11" s="357"/>
      <c r="E11" s="331"/>
      <c r="F11" s="332"/>
      <c r="G11" s="332"/>
      <c r="H11" s="332"/>
      <c r="I11" s="337"/>
      <c r="J11" s="275"/>
      <c r="K11" s="273"/>
      <c r="L11" s="273"/>
      <c r="M11" s="273"/>
      <c r="N11" s="273"/>
      <c r="O11" s="273"/>
      <c r="P11" s="273"/>
      <c r="Q11" s="273"/>
      <c r="R11" s="273"/>
      <c r="S11" s="273"/>
      <c r="T11" s="275"/>
      <c r="U11" s="273"/>
      <c r="V11" s="273"/>
      <c r="W11" s="273"/>
      <c r="X11" s="273"/>
      <c r="Y11" s="273"/>
      <c r="Z11" s="273"/>
      <c r="AA11" s="273"/>
      <c r="AB11" s="273"/>
      <c r="AC11" s="273"/>
      <c r="AD11" s="275"/>
      <c r="AE11" s="273"/>
      <c r="AF11" s="273"/>
      <c r="AG11" s="273"/>
      <c r="AH11" s="273"/>
      <c r="AI11" s="273"/>
      <c r="AJ11" s="273"/>
      <c r="AK11" s="273"/>
      <c r="AL11" s="273"/>
      <c r="AM11" s="273"/>
      <c r="AN11" s="275"/>
      <c r="AO11" s="273"/>
      <c r="AP11" s="273"/>
      <c r="AQ11" s="273"/>
      <c r="AR11" s="273"/>
      <c r="AS11" s="273"/>
      <c r="AT11" s="273"/>
      <c r="AU11" s="273"/>
      <c r="AV11" s="273"/>
      <c r="AW11" s="273"/>
      <c r="AX11" s="285"/>
      <c r="AY11" s="267"/>
      <c r="AZ11" s="267"/>
      <c r="BA11" s="267"/>
      <c r="BB11" s="267"/>
      <c r="BC11" s="267"/>
      <c r="BD11" s="267"/>
      <c r="BE11" s="267"/>
      <c r="BF11" s="267"/>
      <c r="BG11" s="286"/>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row>
    <row r="12" spans="1:119" ht="15" customHeight="1" x14ac:dyDescent="0.25">
      <c r="A12" s="58"/>
      <c r="B12" s="356"/>
      <c r="C12" s="356"/>
      <c r="D12" s="357"/>
      <c r="E12" s="331"/>
      <c r="F12" s="332"/>
      <c r="G12" s="332"/>
      <c r="H12" s="332"/>
      <c r="I12" s="337"/>
      <c r="J12" s="275" t="str">
        <f>IF(AND('Mapa final'!$K$49="Muy Alta",'Mapa final'!$O$49="Leve"),CONCATENATE("R",'Mapa final'!$A$49),"")</f>
        <v/>
      </c>
      <c r="K12" s="273"/>
      <c r="L12" s="273" t="str">
        <f>IF(AND('Mapa final'!$K$52="Muy Alta",'Mapa final'!$O$52="Leve"),CONCATENATE("R",'Mapa final'!$A$52),"")</f>
        <v/>
      </c>
      <c r="M12" s="273"/>
      <c r="N12" s="273" t="str">
        <f>IF(AND('Mapa final'!$K$55="Muy Alta",'Mapa final'!$O$55="Leve"),CONCATENATE("R",'Mapa final'!$A$55),"")</f>
        <v/>
      </c>
      <c r="O12" s="273"/>
      <c r="P12" s="273" t="str">
        <f>IF(AND('Mapa final'!$K$58="Muy Alta",'Mapa final'!$O$58="Leve"),CONCATENATE("R",'Mapa final'!$A$58),"")</f>
        <v/>
      </c>
      <c r="Q12" s="273"/>
      <c r="R12" s="273" t="str">
        <f>IF(AND('Mapa final'!$K$61="Muy Alta",'Mapa final'!$O$61="Leve"),CONCATENATE("R",'Mapa final'!$A$61),"")</f>
        <v/>
      </c>
      <c r="S12" s="273"/>
      <c r="T12" s="275" t="str">
        <f>IF(AND('Mapa final'!$K$49="Muy Alta",'Mapa final'!$O$49="Menor"),CONCATENATE("R",'Mapa final'!$A$49),"")</f>
        <v/>
      </c>
      <c r="U12" s="273"/>
      <c r="V12" s="273" t="str">
        <f>IF(AND('Mapa final'!$K$52="Muy Alta",'Mapa final'!$O$52="Menor"),CONCATENATE("R",'Mapa final'!$A$52),"")</f>
        <v>R16</v>
      </c>
      <c r="W12" s="273"/>
      <c r="X12" s="273" t="str">
        <f>IF(AND('Mapa final'!$K$55="Muy Alta",'Mapa final'!$O$55="Menor"),CONCATENATE("R",'Mapa final'!$A$55),"")</f>
        <v/>
      </c>
      <c r="Y12" s="273"/>
      <c r="Z12" s="273" t="str">
        <f>IF(AND('Mapa final'!$K$58="Muy Alta",'Mapa final'!$O$58="Menor"),CONCATENATE("R",'Mapa final'!$A$58),"")</f>
        <v/>
      </c>
      <c r="AA12" s="273"/>
      <c r="AB12" s="273" t="str">
        <f>IF(AND('Mapa final'!$K$61="Muy Alta",'Mapa final'!$O$61="Menor"),CONCATENATE("R",'Mapa final'!$A$61),"")</f>
        <v/>
      </c>
      <c r="AC12" s="273"/>
      <c r="AD12" s="275" t="str">
        <f>IF(AND('Mapa final'!$K$49="Muy Alta",'Mapa final'!$O$49="Moderado"),CONCATENATE("R",'Mapa final'!$A$49),"")</f>
        <v/>
      </c>
      <c r="AE12" s="273"/>
      <c r="AF12" s="273" t="str">
        <f>IF(AND('Mapa final'!$K$52="Muy Alta",'Mapa final'!$O$52="Moderado"),CONCATENATE("R",'Mapa final'!$A$52),"")</f>
        <v/>
      </c>
      <c r="AG12" s="273"/>
      <c r="AH12" s="273" t="str">
        <f>IF(AND('Mapa final'!$K$55="Muy Alta",'Mapa final'!$O$55="Moderado"),CONCATENATE("R",'Mapa final'!$A$55),"")</f>
        <v/>
      </c>
      <c r="AI12" s="273"/>
      <c r="AJ12" s="273" t="str">
        <f>IF(AND('Mapa final'!$K$58="Muy Alta",'Mapa final'!$O$58="Moderado"),CONCATENATE("R",'Mapa final'!$A$58),"")</f>
        <v/>
      </c>
      <c r="AK12" s="273"/>
      <c r="AL12" s="273" t="str">
        <f>IF(AND('Mapa final'!$K$61="Muy Alta",'Mapa final'!$O$61="Moderado"),CONCATENATE("R",'Mapa final'!$A$61),"")</f>
        <v/>
      </c>
      <c r="AM12" s="273"/>
      <c r="AN12" s="275" t="str">
        <f>IF(AND('Mapa final'!$K$49="Muy Alta",'Mapa final'!$O$49="Mayor"),CONCATENATE("R",'Mapa final'!$A$49),"")</f>
        <v/>
      </c>
      <c r="AO12" s="273"/>
      <c r="AP12" s="273" t="str">
        <f>IF(AND('Mapa final'!$K$52="Muy Alta",'Mapa final'!$O$52="Mayor"),CONCATENATE("R",'Mapa final'!$A$52),"")</f>
        <v/>
      </c>
      <c r="AQ12" s="273"/>
      <c r="AR12" s="273" t="str">
        <f>IF(AND('Mapa final'!$K$55="Muy Alta",'Mapa final'!$O$55="Mayor"),CONCATENATE("R",'Mapa final'!$A$55),"")</f>
        <v>R17</v>
      </c>
      <c r="AS12" s="273"/>
      <c r="AT12" s="273" t="str">
        <f>IF(AND('Mapa final'!$K$58="Muy Alta",'Mapa final'!$O$58="Mayor"),CONCATENATE("R",'Mapa final'!$A$58),"")</f>
        <v/>
      </c>
      <c r="AU12" s="273"/>
      <c r="AV12" s="273" t="str">
        <f>IF(AND('Mapa final'!$K$61="Muy Alta",'Mapa final'!$O$61="Mayor"),CONCATENATE("R",'Mapa final'!$A$61),"")</f>
        <v/>
      </c>
      <c r="AW12" s="273"/>
      <c r="AX12" s="285" t="str">
        <f>IF(AND('Mapa final'!$K$49="Muy Alta",'Mapa final'!$O$49="Catastrófico"),CONCATENATE("R",'Mapa final'!$A$49),"")</f>
        <v/>
      </c>
      <c r="AY12" s="267"/>
      <c r="AZ12" s="267" t="str">
        <f>IF(AND('Mapa final'!$K$52="Muy Alta",'Mapa final'!$O$52="Catastrófico"),CONCATENATE("R",'Mapa final'!$A$52),"")</f>
        <v/>
      </c>
      <c r="BA12" s="267"/>
      <c r="BB12" s="267" t="str">
        <f>IF(AND('Mapa final'!$K$55="Muy Alta",'Mapa final'!$O$55="Catastrófico"),CONCATENATE("R",'Mapa final'!$A$55),"")</f>
        <v/>
      </c>
      <c r="BC12" s="267"/>
      <c r="BD12" s="267" t="str">
        <f>IF(AND('Mapa final'!$K$58="Muy Alta",'Mapa final'!$O$58="Catastrófico"),CONCATENATE("R",'Mapa final'!$A$58),"")</f>
        <v/>
      </c>
      <c r="BE12" s="267"/>
      <c r="BF12" s="267" t="str">
        <f>IF(AND('Mapa final'!$K$61="Muy Alta",'Mapa final'!$O$61="Catastrófico"),CONCATENATE("R",'Mapa final'!$A$61),"")</f>
        <v/>
      </c>
      <c r="BG12" s="286"/>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row>
    <row r="13" spans="1:119" ht="15" customHeight="1" thickBot="1" x14ac:dyDescent="0.3">
      <c r="A13" s="58"/>
      <c r="B13" s="356"/>
      <c r="C13" s="356"/>
      <c r="D13" s="357"/>
      <c r="E13" s="331"/>
      <c r="F13" s="332"/>
      <c r="G13" s="332"/>
      <c r="H13" s="332"/>
      <c r="I13" s="337"/>
      <c r="J13" s="275"/>
      <c r="K13" s="273"/>
      <c r="L13" s="273"/>
      <c r="M13" s="273"/>
      <c r="N13" s="273"/>
      <c r="O13" s="273"/>
      <c r="P13" s="273"/>
      <c r="Q13" s="273"/>
      <c r="R13" s="273"/>
      <c r="S13" s="273"/>
      <c r="T13" s="275"/>
      <c r="U13" s="273"/>
      <c r="V13" s="273"/>
      <c r="W13" s="273"/>
      <c r="X13" s="273"/>
      <c r="Y13" s="273"/>
      <c r="Z13" s="273"/>
      <c r="AA13" s="273"/>
      <c r="AB13" s="273"/>
      <c r="AC13" s="273"/>
      <c r="AD13" s="275"/>
      <c r="AE13" s="273"/>
      <c r="AF13" s="273"/>
      <c r="AG13" s="273"/>
      <c r="AH13" s="273"/>
      <c r="AI13" s="273"/>
      <c r="AJ13" s="273"/>
      <c r="AK13" s="273"/>
      <c r="AL13" s="273"/>
      <c r="AM13" s="273"/>
      <c r="AN13" s="275"/>
      <c r="AO13" s="273"/>
      <c r="AP13" s="273"/>
      <c r="AQ13" s="273"/>
      <c r="AR13" s="273"/>
      <c r="AS13" s="273"/>
      <c r="AT13" s="273"/>
      <c r="AU13" s="273"/>
      <c r="AV13" s="273"/>
      <c r="AW13" s="273"/>
      <c r="AX13" s="285"/>
      <c r="AY13" s="267"/>
      <c r="AZ13" s="267"/>
      <c r="BA13" s="267"/>
      <c r="BB13" s="267"/>
      <c r="BC13" s="267"/>
      <c r="BD13" s="267"/>
      <c r="BE13" s="267"/>
      <c r="BF13" s="267"/>
      <c r="BG13" s="286"/>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row>
    <row r="14" spans="1:119" ht="15" customHeight="1" x14ac:dyDescent="0.25">
      <c r="A14" s="58"/>
      <c r="B14" s="356"/>
      <c r="C14" s="356"/>
      <c r="D14" s="357"/>
      <c r="E14" s="331"/>
      <c r="F14" s="332"/>
      <c r="G14" s="332"/>
      <c r="H14" s="332"/>
      <c r="I14" s="337"/>
      <c r="J14" s="275" t="str">
        <f>IF(AND('Mapa final'!$K$64="Muy Alta",'Mapa final'!$O$64="Leve"),CONCATENATE("R",'Mapa final'!$A$64),"")</f>
        <v/>
      </c>
      <c r="K14" s="273"/>
      <c r="L14" s="273" t="str">
        <f>IF(AND('Mapa final'!$K$67="Muy Alta",'Mapa final'!$O$67="Leve"),CONCATENATE("R",'Mapa final'!$A$67),"")</f>
        <v/>
      </c>
      <c r="M14" s="273"/>
      <c r="N14" s="273" t="str">
        <f>IF(AND('Mapa final'!$K$70="Muy Alta",'Mapa final'!$O$70="Leve"),CONCATENATE("R",'Mapa final'!$A$70),"")</f>
        <v/>
      </c>
      <c r="O14" s="273"/>
      <c r="P14" s="273" t="str">
        <f>IF(AND('Mapa final'!$K$73="Muy Alta",'Mapa final'!$O$73="Leve"),CONCATENATE("R",'Mapa final'!$A$73),"")</f>
        <v/>
      </c>
      <c r="Q14" s="273"/>
      <c r="R14" s="273" t="str">
        <f>IF(AND('Mapa final'!$K$76="Muy Alta",'Mapa final'!$O$76="Leve"),CONCATENATE("R",'Mapa final'!$A$76),"")</f>
        <v/>
      </c>
      <c r="S14" s="273"/>
      <c r="T14" s="275" t="str">
        <f>IF(AND('Mapa final'!$K$64="Muy Alta",'Mapa final'!$O$64="Menor"),CONCATENATE("R",'Mapa final'!$A$64),"")</f>
        <v/>
      </c>
      <c r="U14" s="273"/>
      <c r="V14" s="273" t="str">
        <f>IF(AND('Mapa final'!$K$67="Muy Alta",'Mapa final'!$O$67="Menor"),CONCATENATE("R",'Mapa final'!$A$67),"")</f>
        <v/>
      </c>
      <c r="W14" s="273"/>
      <c r="X14" s="273" t="str">
        <f>IF(AND('Mapa final'!$K$70="Muy Alta",'Mapa final'!$O$70="Menor"),CONCATENATE("R",'Mapa final'!$A$70),"")</f>
        <v/>
      </c>
      <c r="Y14" s="273"/>
      <c r="Z14" s="273" t="str">
        <f>IF(AND('Mapa final'!$K$73="Muy Alta",'Mapa final'!$O$73="Menor"),CONCATENATE("R",'Mapa final'!$A$73),"")</f>
        <v/>
      </c>
      <c r="AA14" s="273"/>
      <c r="AB14" s="273" t="str">
        <f>IF(AND('Mapa final'!$K$76="Muy Alta",'Mapa final'!$O$76="Menor"),CONCATENATE("R",'Mapa final'!$A$76),"")</f>
        <v/>
      </c>
      <c r="AC14" s="273"/>
      <c r="AD14" s="275" t="str">
        <f>IF(AND('Mapa final'!$K$64="Muy Alta",'Mapa final'!$O$64="Moderado"),CONCATENATE("R",'Mapa final'!$A$64),"")</f>
        <v/>
      </c>
      <c r="AE14" s="273"/>
      <c r="AF14" s="273" t="str">
        <f>IF(AND('Mapa final'!$K$67="Muy Alta",'Mapa final'!$O$67="Moderado"),CONCATENATE("R",'Mapa final'!$A$67),"")</f>
        <v/>
      </c>
      <c r="AG14" s="273"/>
      <c r="AH14" s="273" t="str">
        <f>IF(AND('Mapa final'!$K$70="Muy Alta",'Mapa final'!$O$70="Moderado"),CONCATENATE("R",'Mapa final'!$A$70),"")</f>
        <v/>
      </c>
      <c r="AI14" s="273"/>
      <c r="AJ14" s="273" t="str">
        <f>IF(AND('Mapa final'!$K$73="Muy Alta",'Mapa final'!$O$73="Moderado"),CONCATENATE("R",'Mapa final'!$A$73),"")</f>
        <v/>
      </c>
      <c r="AK14" s="273"/>
      <c r="AL14" s="273" t="str">
        <f>IF(AND('Mapa final'!$K$76="Muy Alta",'Mapa final'!$O$76="Moderado"),CONCATENATE("R",'Mapa final'!$A$76),"")</f>
        <v/>
      </c>
      <c r="AM14" s="273"/>
      <c r="AN14" s="275" t="str">
        <f>IF(AND('Mapa final'!$K$64="Muy Alta",'Mapa final'!$O$64="Mayor"),CONCATENATE("R",'Mapa final'!$A$64),"")</f>
        <v/>
      </c>
      <c r="AO14" s="273"/>
      <c r="AP14" s="273" t="str">
        <f>IF(AND('Mapa final'!$K$67="Muy Alta",'Mapa final'!$O$67="Mayor"),CONCATENATE("R",'Mapa final'!$A$67),"")</f>
        <v/>
      </c>
      <c r="AQ14" s="273"/>
      <c r="AR14" s="273" t="str">
        <f>IF(AND('Mapa final'!$K$70="Muy Alta",'Mapa final'!$O$70="Mayor"),CONCATENATE("R",'Mapa final'!$A$70),"")</f>
        <v/>
      </c>
      <c r="AS14" s="273"/>
      <c r="AT14" s="273" t="str">
        <f>IF(AND('Mapa final'!$K$73="Muy Alta",'Mapa final'!$O$73="Mayor"),CONCATENATE("R",'Mapa final'!$A$73),"")</f>
        <v/>
      </c>
      <c r="AU14" s="273"/>
      <c r="AV14" s="273" t="str">
        <f>IF(AND('Mapa final'!$K$76="Muy Alta",'Mapa final'!$O$76="Mayor"),CONCATENATE("R",'Mapa final'!$A$76),"")</f>
        <v/>
      </c>
      <c r="AW14" s="273"/>
      <c r="AX14" s="285" t="str">
        <f>IF(AND('Mapa final'!$K$64="Muy Alta",'Mapa final'!$O$64="Catastrófico"),CONCATENATE("R",'Mapa final'!$A$64),"")</f>
        <v/>
      </c>
      <c r="AY14" s="267"/>
      <c r="AZ14" s="267" t="str">
        <f>IF(AND('Mapa final'!$K$67="Muy Alta",'Mapa final'!$O$67="Catastrófico"),CONCATENATE("R",'Mapa final'!$A$67),"")</f>
        <v/>
      </c>
      <c r="BA14" s="267"/>
      <c r="BB14" s="267" t="str">
        <f>IF(AND('Mapa final'!$K$70="Muy Alta",'Mapa final'!$O$70="Catastrófico"),CONCATENATE("R",'Mapa final'!$A$70),"")</f>
        <v/>
      </c>
      <c r="BC14" s="267"/>
      <c r="BD14" s="267" t="str">
        <f>IF(AND('Mapa final'!$K$73="Muy Alta",'Mapa final'!$O$73="Catastrófico"),CONCATENATE("R",'Mapa final'!$A$73),"")</f>
        <v/>
      </c>
      <c r="BE14" s="267"/>
      <c r="BF14" s="267" t="str">
        <f>IF(AND('Mapa final'!$K$76="Muy Alta",'Mapa final'!$O$76="Catastrófico"),CONCATENATE("R",'Mapa final'!$A$76),"")</f>
        <v/>
      </c>
      <c r="BG14" s="286"/>
      <c r="BH14" s="58"/>
      <c r="BI14" s="293" t="s">
        <v>73</v>
      </c>
      <c r="BJ14" s="294"/>
      <c r="BK14" s="294"/>
      <c r="BL14" s="294"/>
      <c r="BM14" s="294"/>
      <c r="BN14" s="295"/>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row>
    <row r="15" spans="1:119" ht="15" customHeight="1" x14ac:dyDescent="0.25">
      <c r="A15" s="58"/>
      <c r="B15" s="356"/>
      <c r="C15" s="356"/>
      <c r="D15" s="357"/>
      <c r="E15" s="331"/>
      <c r="F15" s="332"/>
      <c r="G15" s="332"/>
      <c r="H15" s="332"/>
      <c r="I15" s="337"/>
      <c r="J15" s="275"/>
      <c r="K15" s="273"/>
      <c r="L15" s="273"/>
      <c r="M15" s="273"/>
      <c r="N15" s="273"/>
      <c r="O15" s="273"/>
      <c r="P15" s="273"/>
      <c r="Q15" s="273"/>
      <c r="R15" s="273"/>
      <c r="S15" s="273"/>
      <c r="T15" s="275"/>
      <c r="U15" s="273"/>
      <c r="V15" s="273"/>
      <c r="W15" s="273"/>
      <c r="X15" s="273"/>
      <c r="Y15" s="273"/>
      <c r="Z15" s="273"/>
      <c r="AA15" s="273"/>
      <c r="AB15" s="273"/>
      <c r="AC15" s="273"/>
      <c r="AD15" s="275"/>
      <c r="AE15" s="273"/>
      <c r="AF15" s="273"/>
      <c r="AG15" s="273"/>
      <c r="AH15" s="273"/>
      <c r="AI15" s="273"/>
      <c r="AJ15" s="273"/>
      <c r="AK15" s="273"/>
      <c r="AL15" s="273"/>
      <c r="AM15" s="273"/>
      <c r="AN15" s="275"/>
      <c r="AO15" s="273"/>
      <c r="AP15" s="273"/>
      <c r="AQ15" s="273"/>
      <c r="AR15" s="273"/>
      <c r="AS15" s="273"/>
      <c r="AT15" s="273"/>
      <c r="AU15" s="273"/>
      <c r="AV15" s="273"/>
      <c r="AW15" s="273"/>
      <c r="AX15" s="285"/>
      <c r="AY15" s="267"/>
      <c r="AZ15" s="267"/>
      <c r="BA15" s="267"/>
      <c r="BB15" s="267"/>
      <c r="BC15" s="267"/>
      <c r="BD15" s="267"/>
      <c r="BE15" s="267"/>
      <c r="BF15" s="267"/>
      <c r="BG15" s="286"/>
      <c r="BH15" s="58"/>
      <c r="BI15" s="296"/>
      <c r="BJ15" s="297"/>
      <c r="BK15" s="297"/>
      <c r="BL15" s="297"/>
      <c r="BM15" s="297"/>
      <c r="BN15" s="29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row>
    <row r="16" spans="1:119" ht="15" customHeight="1" x14ac:dyDescent="0.25">
      <c r="A16" s="58"/>
      <c r="B16" s="356"/>
      <c r="C16" s="356"/>
      <c r="D16" s="357"/>
      <c r="E16" s="331"/>
      <c r="F16" s="332"/>
      <c r="G16" s="332"/>
      <c r="H16" s="332"/>
      <c r="I16" s="337"/>
      <c r="J16" s="275" t="str">
        <f>IF(AND('Mapa final'!$K$79="Muy Alta",'Mapa final'!$O$79="Leve"),CONCATENATE("R",'Mapa final'!$A$79),"")</f>
        <v/>
      </c>
      <c r="K16" s="273"/>
      <c r="L16" s="273" t="str">
        <f>IF(AND('Mapa final'!$K$82="Muy Alta",'Mapa final'!$O$82="Leve"),CONCATENATE("R",'Mapa final'!$A$82),"")</f>
        <v/>
      </c>
      <c r="M16" s="273"/>
      <c r="N16" s="273" t="str">
        <f>IF(AND('Mapa final'!$K$85="Muy Alta",'Mapa final'!$O$85="Leve"),CONCATENATE("R",'Mapa final'!$A$85),"")</f>
        <v/>
      </c>
      <c r="O16" s="273"/>
      <c r="P16" s="273" t="str">
        <f>IF(AND('Mapa final'!$K$88="Muy Alta",'Mapa final'!$O$88="Leve"),CONCATENATE("R",'Mapa final'!$A$88),"")</f>
        <v/>
      </c>
      <c r="Q16" s="273"/>
      <c r="R16" s="273" t="str">
        <f>IF(AND('Mapa final'!$K$91="Muy Alta",'Mapa final'!$O$91="Leve"),CONCATENATE("R",'Mapa final'!$A$91),"")</f>
        <v/>
      </c>
      <c r="S16" s="273"/>
      <c r="T16" s="275" t="str">
        <f>IF(AND('Mapa final'!$K$79="Muy Alta",'Mapa final'!$O$79="Menor"),CONCATENATE("R",'Mapa final'!$A$79),"")</f>
        <v/>
      </c>
      <c r="U16" s="273"/>
      <c r="V16" s="273" t="str">
        <f>IF(AND('Mapa final'!$K$82="Muy Alta",'Mapa final'!$O$82="Menor"),CONCATENATE("R",'Mapa final'!$A$82),"")</f>
        <v/>
      </c>
      <c r="W16" s="273"/>
      <c r="X16" s="273" t="str">
        <f>IF(AND('Mapa final'!$K$85="Muy Alta",'Mapa final'!$O$85="Menor"),CONCATENATE("R",'Mapa final'!$A$85),"")</f>
        <v/>
      </c>
      <c r="Y16" s="273"/>
      <c r="Z16" s="273" t="str">
        <f>IF(AND('Mapa final'!$K$88="Muy Alta",'Mapa final'!$O$88="Menor"),CONCATENATE("R",'Mapa final'!$A$88),"")</f>
        <v/>
      </c>
      <c r="AA16" s="273"/>
      <c r="AB16" s="273" t="str">
        <f>IF(AND('Mapa final'!$K$91="Muy Alta",'Mapa final'!$O$91="Menor"),CONCATENATE("R",'Mapa final'!$A$91),"")</f>
        <v/>
      </c>
      <c r="AC16" s="273"/>
      <c r="AD16" s="275" t="str">
        <f>IF(AND('Mapa final'!$K$79="Muy Alta",'Mapa final'!$O$79="Moderado"),CONCATENATE("R",'Mapa final'!$A$79),"")</f>
        <v/>
      </c>
      <c r="AE16" s="273"/>
      <c r="AF16" s="273" t="str">
        <f>IF(AND('Mapa final'!$K$82="Muy Alta",'Mapa final'!$O$82="Moderado"),CONCATENATE("R",'Mapa final'!$A$82),"")</f>
        <v/>
      </c>
      <c r="AG16" s="273"/>
      <c r="AH16" s="273" t="str">
        <f>IF(AND('Mapa final'!$K$85="Muy Alta",'Mapa final'!$O$85="Moderado"),CONCATENATE("R",'Mapa final'!$A$85),"")</f>
        <v/>
      </c>
      <c r="AI16" s="273"/>
      <c r="AJ16" s="273" t="str">
        <f>IF(AND('Mapa final'!$K$88="Muy Alta",'Mapa final'!$O$88="Moderado"),CONCATENATE("R",'Mapa final'!$A$88),"")</f>
        <v/>
      </c>
      <c r="AK16" s="273"/>
      <c r="AL16" s="273" t="str">
        <f>IF(AND('Mapa final'!$K$91="Muy Alta",'Mapa final'!$O$91="Moderado"),CONCATENATE("R",'Mapa final'!$A$91),"")</f>
        <v/>
      </c>
      <c r="AM16" s="273"/>
      <c r="AN16" s="275" t="str">
        <f>IF(AND('Mapa final'!$K$79="Muy Alta",'Mapa final'!$O$79="Mayor"),CONCATENATE("R",'Mapa final'!$A$79),"")</f>
        <v/>
      </c>
      <c r="AO16" s="273"/>
      <c r="AP16" s="273" t="str">
        <f>IF(AND('Mapa final'!$K$82="Muy Alta",'Mapa final'!$O$82="Mayor"),CONCATENATE("R",'Mapa final'!$A$82),"")</f>
        <v/>
      </c>
      <c r="AQ16" s="273"/>
      <c r="AR16" s="273" t="str">
        <f>IF(AND('Mapa final'!$K$85="Muy Alta",'Mapa final'!$O$85="Mayor"),CONCATENATE("R",'Mapa final'!$A$85),"")</f>
        <v/>
      </c>
      <c r="AS16" s="273"/>
      <c r="AT16" s="273" t="str">
        <f>IF(AND('Mapa final'!$K$88="Muy Alta",'Mapa final'!$O$88="Mayor"),CONCATENATE("R",'Mapa final'!$A$88),"")</f>
        <v/>
      </c>
      <c r="AU16" s="273"/>
      <c r="AV16" s="273" t="str">
        <f>IF(AND('Mapa final'!$K$91="Muy Alta",'Mapa final'!$O$91="Mayor"),CONCATENATE("R",'Mapa final'!$A$91),"")</f>
        <v/>
      </c>
      <c r="AW16" s="273"/>
      <c r="AX16" s="285" t="str">
        <f>IF(AND('Mapa final'!$K$79="Muy Alta",'Mapa final'!$O$79="Catastrófico"),CONCATENATE("R",'Mapa final'!$A$79),"")</f>
        <v/>
      </c>
      <c r="AY16" s="267"/>
      <c r="AZ16" s="267" t="str">
        <f>IF(AND('Mapa final'!$K$82="Muy Alta",'Mapa final'!$O$82="Catastrófico"),CONCATENATE("R",'Mapa final'!$A$82),"")</f>
        <v/>
      </c>
      <c r="BA16" s="267"/>
      <c r="BB16" s="267" t="str">
        <f>IF(AND('Mapa final'!$K$85="Muy Alta",'Mapa final'!$O$85="Catastrófico"),CONCATENATE("R",'Mapa final'!$A$85),"")</f>
        <v/>
      </c>
      <c r="BC16" s="267"/>
      <c r="BD16" s="267" t="str">
        <f>IF(AND('Mapa final'!$K$88="Muy Alta",'Mapa final'!$O$88="Catastrófico"),CONCATENATE("R",'Mapa final'!$A$88),"")</f>
        <v/>
      </c>
      <c r="BE16" s="267"/>
      <c r="BF16" s="267" t="str">
        <f>IF(AND('Mapa final'!$K$91="Muy Alta",'Mapa final'!$O$91="Catastrófico"),CONCATENATE("R",'Mapa final'!$A$91),"")</f>
        <v/>
      </c>
      <c r="BG16" s="286"/>
      <c r="BH16" s="58"/>
      <c r="BI16" s="296"/>
      <c r="BJ16" s="297"/>
      <c r="BK16" s="297"/>
      <c r="BL16" s="297"/>
      <c r="BM16" s="297"/>
      <c r="BN16" s="29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row>
    <row r="17" spans="1:100" ht="15" customHeight="1" x14ac:dyDescent="0.25">
      <c r="A17" s="58"/>
      <c r="B17" s="356"/>
      <c r="C17" s="356"/>
      <c r="D17" s="357"/>
      <c r="E17" s="331"/>
      <c r="F17" s="332"/>
      <c r="G17" s="332"/>
      <c r="H17" s="332"/>
      <c r="I17" s="337"/>
      <c r="J17" s="275"/>
      <c r="K17" s="273"/>
      <c r="L17" s="273"/>
      <c r="M17" s="273"/>
      <c r="N17" s="273"/>
      <c r="O17" s="273"/>
      <c r="P17" s="273"/>
      <c r="Q17" s="273"/>
      <c r="R17" s="273"/>
      <c r="S17" s="273"/>
      <c r="T17" s="275"/>
      <c r="U17" s="273"/>
      <c r="V17" s="273"/>
      <c r="W17" s="273"/>
      <c r="X17" s="273"/>
      <c r="Y17" s="273"/>
      <c r="Z17" s="273"/>
      <c r="AA17" s="273"/>
      <c r="AB17" s="273"/>
      <c r="AC17" s="273"/>
      <c r="AD17" s="275"/>
      <c r="AE17" s="273"/>
      <c r="AF17" s="273"/>
      <c r="AG17" s="273"/>
      <c r="AH17" s="273"/>
      <c r="AI17" s="273"/>
      <c r="AJ17" s="273"/>
      <c r="AK17" s="273"/>
      <c r="AL17" s="273"/>
      <c r="AM17" s="273"/>
      <c r="AN17" s="275"/>
      <c r="AO17" s="273"/>
      <c r="AP17" s="273"/>
      <c r="AQ17" s="273"/>
      <c r="AR17" s="273"/>
      <c r="AS17" s="273"/>
      <c r="AT17" s="273"/>
      <c r="AU17" s="273"/>
      <c r="AV17" s="273"/>
      <c r="AW17" s="273"/>
      <c r="AX17" s="285"/>
      <c r="AY17" s="267"/>
      <c r="AZ17" s="267"/>
      <c r="BA17" s="267"/>
      <c r="BB17" s="267"/>
      <c r="BC17" s="267"/>
      <c r="BD17" s="267"/>
      <c r="BE17" s="267"/>
      <c r="BF17" s="267"/>
      <c r="BG17" s="286"/>
      <c r="BH17" s="58"/>
      <c r="BI17" s="296"/>
      <c r="BJ17" s="297"/>
      <c r="BK17" s="297"/>
      <c r="BL17" s="297"/>
      <c r="BM17" s="297"/>
      <c r="BN17" s="29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row>
    <row r="18" spans="1:100" ht="15" customHeight="1" x14ac:dyDescent="0.25">
      <c r="A18" s="58"/>
      <c r="B18" s="356"/>
      <c r="C18" s="356"/>
      <c r="D18" s="357"/>
      <c r="E18" s="331"/>
      <c r="F18" s="332"/>
      <c r="G18" s="332"/>
      <c r="H18" s="332"/>
      <c r="I18" s="337"/>
      <c r="J18" s="275" t="str">
        <f>IF(AND('Mapa final'!$K$94="Muy Alta",'Mapa final'!$O$94="Leve"),CONCATENATE("R",'Mapa final'!$A$94),"")</f>
        <v/>
      </c>
      <c r="K18" s="273"/>
      <c r="L18" s="273" t="str">
        <f>IF(AND('Mapa final'!$K$97="Muy Alta",'Mapa final'!$O$97="Leve"),CONCATENATE("R",'Mapa final'!$A$97),"")</f>
        <v/>
      </c>
      <c r="M18" s="273"/>
      <c r="N18" s="273" t="str">
        <f>IF(AND('Mapa final'!$K$100="Muy Alta",'Mapa final'!$O$100="Leve"),CONCATENATE("R",'Mapa final'!$A$100),"")</f>
        <v/>
      </c>
      <c r="O18" s="273"/>
      <c r="P18" s="273" t="str">
        <f>IF(AND('Mapa final'!$K$103="Muy Alta",'Mapa final'!$O$103="Leve"),CONCATENATE("R",'Mapa final'!$A$103),"")</f>
        <v/>
      </c>
      <c r="Q18" s="273"/>
      <c r="R18" s="273" t="str">
        <f>IF(AND('Mapa final'!$K$106="Muy Alta",'Mapa final'!$O$106="Leve"),CONCATENATE("R",'Mapa final'!$A$106),"")</f>
        <v/>
      </c>
      <c r="S18" s="273"/>
      <c r="T18" s="275" t="str">
        <f>IF(AND('Mapa final'!$K$94="Muy Alta",'Mapa final'!$O$94="Menor"),CONCATENATE("R",'Mapa final'!$A$94),"")</f>
        <v/>
      </c>
      <c r="U18" s="273"/>
      <c r="V18" s="273" t="str">
        <f>IF(AND('Mapa final'!$K$97="Muy Alta",'Mapa final'!$O$97="Menor"),CONCATENATE("R",'Mapa final'!$A$97),"")</f>
        <v/>
      </c>
      <c r="W18" s="273"/>
      <c r="X18" s="273" t="str">
        <f>IF(AND('Mapa final'!$K$100="Muy Alta",'Mapa final'!$O$100="Menor"),CONCATENATE("R",'Mapa final'!$A$100),"")</f>
        <v/>
      </c>
      <c r="Y18" s="273"/>
      <c r="Z18" s="273" t="str">
        <f>IF(AND('Mapa final'!$K$103="Muy Alta",'Mapa final'!$O$103="Menor"),CONCATENATE("R",'Mapa final'!$A$103),"")</f>
        <v/>
      </c>
      <c r="AA18" s="273"/>
      <c r="AB18" s="273" t="str">
        <f>IF(AND('Mapa final'!$K$106="Muy Alta",'Mapa final'!$O$106="Menor"),CONCATENATE("R",'Mapa final'!$A$106),"")</f>
        <v/>
      </c>
      <c r="AC18" s="273"/>
      <c r="AD18" s="275" t="str">
        <f>IF(AND('Mapa final'!$K$94="Muy Alta",'Mapa final'!$O$94="Moderado"),CONCATENATE("R",'Mapa final'!$A$94),"")</f>
        <v/>
      </c>
      <c r="AE18" s="273"/>
      <c r="AF18" s="273" t="str">
        <f>IF(AND('Mapa final'!$K$97="Muy Alta",'Mapa final'!$O$97="Moderado"),CONCATENATE("R",'Mapa final'!$A$97),"")</f>
        <v/>
      </c>
      <c r="AG18" s="273"/>
      <c r="AH18" s="273" t="str">
        <f>IF(AND('Mapa final'!$K$100="Muy Alta",'Mapa final'!$O$100="Moderado"),CONCATENATE("R",'Mapa final'!$A$100),"")</f>
        <v/>
      </c>
      <c r="AI18" s="273"/>
      <c r="AJ18" s="273" t="str">
        <f>IF(AND('Mapa final'!$K$103="Muy Alta",'Mapa final'!$O$103="Moderado"),CONCATENATE("R",'Mapa final'!$A$103),"")</f>
        <v/>
      </c>
      <c r="AK18" s="273"/>
      <c r="AL18" s="273" t="str">
        <f>IF(AND('Mapa final'!$K$106="Muy Alta",'Mapa final'!$O$106="Moderado"),CONCATENATE("R",'Mapa final'!$A$106),"")</f>
        <v/>
      </c>
      <c r="AM18" s="273"/>
      <c r="AN18" s="275" t="str">
        <f>IF(AND('Mapa final'!$K$94="Muy Alta",'Mapa final'!$O$94="Mayor"),CONCATENATE("R",'Mapa final'!$A$94),"")</f>
        <v/>
      </c>
      <c r="AO18" s="273"/>
      <c r="AP18" s="273" t="str">
        <f>IF(AND('Mapa final'!$K$97="Muy Alta",'Mapa final'!$O$97="Mayor"),CONCATENATE("R",'Mapa final'!$A$97),"")</f>
        <v/>
      </c>
      <c r="AQ18" s="273"/>
      <c r="AR18" s="273" t="str">
        <f>IF(AND('Mapa final'!$K$100="Muy Alta",'Mapa final'!$O$100="Mayor"),CONCATENATE("R",'Mapa final'!$A$100),"")</f>
        <v/>
      </c>
      <c r="AS18" s="273"/>
      <c r="AT18" s="273" t="str">
        <f>IF(AND('Mapa final'!$K$103="Muy Alta",'Mapa final'!$O$103="Mayor"),CONCATENATE("R",'Mapa final'!$A$103),"")</f>
        <v/>
      </c>
      <c r="AU18" s="273"/>
      <c r="AV18" s="273" t="str">
        <f>IF(AND('Mapa final'!$K$106="Muy Alta",'Mapa final'!$O$106="Mayor"),CONCATENATE("R",'Mapa final'!$A$106),"")</f>
        <v/>
      </c>
      <c r="AW18" s="273"/>
      <c r="AX18" s="285" t="str">
        <f>IF(AND('Mapa final'!$K$94="Muy Alta",'Mapa final'!$O$94="Catastrófico"),CONCATENATE("R",'Mapa final'!$A$94),"")</f>
        <v/>
      </c>
      <c r="AY18" s="267"/>
      <c r="AZ18" s="267" t="str">
        <f>IF(AND('Mapa final'!$K$97="Muy Alta",'Mapa final'!$O$97="Catastrófico"),CONCATENATE("R",'Mapa final'!$A$97),"")</f>
        <v/>
      </c>
      <c r="BA18" s="267"/>
      <c r="BB18" s="267" t="str">
        <f>IF(AND('Mapa final'!$K$100="Muy Alta",'Mapa final'!$O$100="Catastrófico"),CONCATENATE("R",'Mapa final'!$A$100),"")</f>
        <v/>
      </c>
      <c r="BC18" s="267"/>
      <c r="BD18" s="267" t="str">
        <f>IF(AND('Mapa final'!$K$103="Muy Alta",'Mapa final'!$O$103="Catastrófico"),CONCATENATE("R",'Mapa final'!$A$103),"")</f>
        <v/>
      </c>
      <c r="BE18" s="267"/>
      <c r="BF18" s="267" t="str">
        <f>IF(AND('Mapa final'!$K$106="Muy Alta",'Mapa final'!$O$106="Catastrófico"),CONCATENATE("R",'Mapa final'!$A$106),"")</f>
        <v/>
      </c>
      <c r="BG18" s="286"/>
      <c r="BH18" s="58"/>
      <c r="BI18" s="296"/>
      <c r="BJ18" s="297"/>
      <c r="BK18" s="297"/>
      <c r="BL18" s="297"/>
      <c r="BM18" s="297"/>
      <c r="BN18" s="29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row>
    <row r="19" spans="1:100" ht="15" customHeight="1" x14ac:dyDescent="0.25">
      <c r="A19" s="58"/>
      <c r="B19" s="356"/>
      <c r="C19" s="356"/>
      <c r="D19" s="357"/>
      <c r="E19" s="331"/>
      <c r="F19" s="332"/>
      <c r="G19" s="332"/>
      <c r="H19" s="332"/>
      <c r="I19" s="337"/>
      <c r="J19" s="275"/>
      <c r="K19" s="273"/>
      <c r="L19" s="273"/>
      <c r="M19" s="273"/>
      <c r="N19" s="273"/>
      <c r="O19" s="273"/>
      <c r="P19" s="273"/>
      <c r="Q19" s="273"/>
      <c r="R19" s="273"/>
      <c r="S19" s="273"/>
      <c r="T19" s="275"/>
      <c r="U19" s="273"/>
      <c r="V19" s="273"/>
      <c r="W19" s="273"/>
      <c r="X19" s="273"/>
      <c r="Y19" s="273"/>
      <c r="Z19" s="273"/>
      <c r="AA19" s="273"/>
      <c r="AB19" s="273"/>
      <c r="AC19" s="273"/>
      <c r="AD19" s="275"/>
      <c r="AE19" s="273"/>
      <c r="AF19" s="273"/>
      <c r="AG19" s="273"/>
      <c r="AH19" s="273"/>
      <c r="AI19" s="273"/>
      <c r="AJ19" s="273"/>
      <c r="AK19" s="273"/>
      <c r="AL19" s="273"/>
      <c r="AM19" s="273"/>
      <c r="AN19" s="275"/>
      <c r="AO19" s="273"/>
      <c r="AP19" s="273"/>
      <c r="AQ19" s="273"/>
      <c r="AR19" s="273"/>
      <c r="AS19" s="273"/>
      <c r="AT19" s="273"/>
      <c r="AU19" s="273"/>
      <c r="AV19" s="273"/>
      <c r="AW19" s="273"/>
      <c r="AX19" s="285"/>
      <c r="AY19" s="267"/>
      <c r="AZ19" s="267"/>
      <c r="BA19" s="267"/>
      <c r="BB19" s="267"/>
      <c r="BC19" s="267"/>
      <c r="BD19" s="267"/>
      <c r="BE19" s="267"/>
      <c r="BF19" s="267"/>
      <c r="BG19" s="286"/>
      <c r="BH19" s="58"/>
      <c r="BI19" s="296"/>
      <c r="BJ19" s="297"/>
      <c r="BK19" s="297"/>
      <c r="BL19" s="297"/>
      <c r="BM19" s="297"/>
      <c r="BN19" s="29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row>
    <row r="20" spans="1:100" ht="15" customHeight="1" x14ac:dyDescent="0.25">
      <c r="A20" s="58"/>
      <c r="B20" s="356"/>
      <c r="C20" s="356"/>
      <c r="D20" s="357"/>
      <c r="E20" s="331"/>
      <c r="F20" s="332"/>
      <c r="G20" s="332"/>
      <c r="H20" s="332"/>
      <c r="I20" s="337"/>
      <c r="J20" s="275" t="str">
        <f>IF(AND('Mapa final'!$K$109="Muy Alta",'Mapa final'!$O$109="Leve"),CONCATENATE("R",'Mapa final'!$A$109),"")</f>
        <v/>
      </c>
      <c r="K20" s="273"/>
      <c r="L20" s="273" t="str">
        <f>IF(AND('Mapa final'!$K$112="Muy Alta",'Mapa final'!$O$112="Leve"),CONCATENATE("R",'Mapa final'!$A$112),"")</f>
        <v/>
      </c>
      <c r="M20" s="273"/>
      <c r="N20" s="273" t="str">
        <f>IF(AND('Mapa final'!$K$115="Muy Alta",'Mapa final'!$O$115="Leve"),CONCATENATE("R",'Mapa final'!$A$115),"")</f>
        <v/>
      </c>
      <c r="O20" s="273"/>
      <c r="P20" s="273" t="str">
        <f>IF(AND('Mapa final'!$K$118="Muy Alta",'Mapa final'!$O$118="Leve"),CONCATENATE("R",'Mapa final'!$A$118),"")</f>
        <v/>
      </c>
      <c r="Q20" s="273"/>
      <c r="R20" s="273" t="str">
        <f>IF(AND('Mapa final'!$K$121="Muy Alta",'Mapa final'!$O$121="Leve"),CONCATENATE("R",'Mapa final'!$A$121),"")</f>
        <v/>
      </c>
      <c r="S20" s="273"/>
      <c r="T20" s="275" t="str">
        <f>IF(AND('Mapa final'!$K$109="Muy Alta",'Mapa final'!$O$109="Menor"),CONCATENATE("R",'Mapa final'!$A$109),"")</f>
        <v/>
      </c>
      <c r="U20" s="273"/>
      <c r="V20" s="273" t="str">
        <f>IF(AND('Mapa final'!$K$112="Muy Alta",'Mapa final'!$O$112="Menor"),CONCATENATE("R",'Mapa final'!$A$112),"")</f>
        <v/>
      </c>
      <c r="W20" s="273"/>
      <c r="X20" s="273" t="str">
        <f>IF(AND('Mapa final'!$K$115="Muy Alta",'Mapa final'!$O$115="Menor"),CONCATENATE("R",'Mapa final'!$A$115),"")</f>
        <v/>
      </c>
      <c r="Y20" s="273"/>
      <c r="Z20" s="273" t="str">
        <f>IF(AND('Mapa final'!$K$118="Muy Alta",'Mapa final'!$O$118="Menor"),CONCATENATE("R",'Mapa final'!$A$118),"")</f>
        <v/>
      </c>
      <c r="AA20" s="273"/>
      <c r="AB20" s="273" t="str">
        <f>IF(AND('Mapa final'!$K$121="Muy Alta",'Mapa final'!$O$121="Menor"),CONCATENATE("R",'Mapa final'!$A$121),"")</f>
        <v/>
      </c>
      <c r="AC20" s="273"/>
      <c r="AD20" s="275" t="str">
        <f>IF(AND('Mapa final'!$K$109="Muy Alta",'Mapa final'!$O$109="Moderado"),CONCATENATE("R",'Mapa final'!$A$109),"")</f>
        <v/>
      </c>
      <c r="AE20" s="273"/>
      <c r="AF20" s="273" t="str">
        <f>IF(AND('Mapa final'!$K$112="Muy Alta",'Mapa final'!$O$112="Moderado"),CONCATENATE("R",'Mapa final'!$A$112),"")</f>
        <v/>
      </c>
      <c r="AG20" s="273"/>
      <c r="AH20" s="273" t="str">
        <f>IF(AND('Mapa final'!$K$115="Muy Alta",'Mapa final'!$O$115="Moderado"),CONCATENATE("R",'Mapa final'!$A$115),"")</f>
        <v/>
      </c>
      <c r="AI20" s="273"/>
      <c r="AJ20" s="273" t="str">
        <f>IF(AND('Mapa final'!$K$118="Muy Alta",'Mapa final'!$O$118="Moderado"),CONCATENATE("R",'Mapa final'!$A$118),"")</f>
        <v>R38</v>
      </c>
      <c r="AK20" s="273"/>
      <c r="AL20" s="273" t="str">
        <f>IF(AND('Mapa final'!$K$121="Muy Alta",'Mapa final'!$O$121="Moderado"),CONCATENATE("R",'Mapa final'!$A$121),"")</f>
        <v>R39</v>
      </c>
      <c r="AM20" s="273"/>
      <c r="AN20" s="275" t="str">
        <f>IF(AND('Mapa final'!$K$109="Muy Alta",'Mapa final'!$O$109="Mayor"),CONCATENATE("R",'Mapa final'!$A$109),"")</f>
        <v/>
      </c>
      <c r="AO20" s="273"/>
      <c r="AP20" s="273" t="str">
        <f>IF(AND('Mapa final'!$K$112="Muy Alta",'Mapa final'!$O$112="Mayor"),CONCATENATE("R",'Mapa final'!$A$112),"")</f>
        <v/>
      </c>
      <c r="AQ20" s="273"/>
      <c r="AR20" s="273" t="str">
        <f>IF(AND('Mapa final'!$K$115="Muy Alta",'Mapa final'!$O$115="Mayor"),CONCATENATE("R",'Mapa final'!$A$115),"")</f>
        <v/>
      </c>
      <c r="AS20" s="273"/>
      <c r="AT20" s="273" t="str">
        <f>IF(AND('Mapa final'!$K$118="Muy Alta",'Mapa final'!$O$118="Mayor"),CONCATENATE("R",'Mapa final'!$A$118),"")</f>
        <v/>
      </c>
      <c r="AU20" s="273"/>
      <c r="AV20" s="273" t="str">
        <f>IF(AND('Mapa final'!$K$121="Muy Alta",'Mapa final'!$O$121="Mayor"),CONCATENATE("R",'Mapa final'!$A$121),"")</f>
        <v/>
      </c>
      <c r="AW20" s="273"/>
      <c r="AX20" s="285" t="str">
        <f>IF(AND('Mapa final'!$K$109="Muy Alta",'Mapa final'!$O$109="Catastrófico"),CONCATENATE("R",'Mapa final'!$A$109),"")</f>
        <v/>
      </c>
      <c r="AY20" s="267"/>
      <c r="AZ20" s="267" t="str">
        <f>IF(AND('Mapa final'!$K$112="Muy Alta",'Mapa final'!$O$112="Catastrófico"),CONCATENATE("R",'Mapa final'!$A$112),"")</f>
        <v/>
      </c>
      <c r="BA20" s="267"/>
      <c r="BB20" s="267" t="str">
        <f>IF(AND('Mapa final'!$K$115="Muy Alta",'Mapa final'!$O$115="Catastrófico"),CONCATENATE("R",'Mapa final'!$A$115),"")</f>
        <v/>
      </c>
      <c r="BC20" s="267"/>
      <c r="BD20" s="267" t="str">
        <f>IF(AND('Mapa final'!$K$118="Muy Alta",'Mapa final'!$O$118="Catastrófico"),CONCATENATE("R",'Mapa final'!$A$118),"")</f>
        <v/>
      </c>
      <c r="BE20" s="267"/>
      <c r="BF20" s="267" t="str">
        <f>IF(AND('Mapa final'!$K$121="Muy Alta",'Mapa final'!$O$121="Catastrófico"),CONCATENATE("R",'Mapa final'!$A$121),"")</f>
        <v/>
      </c>
      <c r="BG20" s="286"/>
      <c r="BH20" s="58"/>
      <c r="BI20" s="296"/>
      <c r="BJ20" s="297"/>
      <c r="BK20" s="297"/>
      <c r="BL20" s="297"/>
      <c r="BM20" s="297"/>
      <c r="BN20" s="29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row>
    <row r="21" spans="1:100" ht="15" customHeight="1" x14ac:dyDescent="0.25">
      <c r="A21" s="58"/>
      <c r="B21" s="356"/>
      <c r="C21" s="356"/>
      <c r="D21" s="357"/>
      <c r="E21" s="331"/>
      <c r="F21" s="332"/>
      <c r="G21" s="332"/>
      <c r="H21" s="332"/>
      <c r="I21" s="337"/>
      <c r="J21" s="275"/>
      <c r="K21" s="273"/>
      <c r="L21" s="273"/>
      <c r="M21" s="273"/>
      <c r="N21" s="273"/>
      <c r="O21" s="273"/>
      <c r="P21" s="273"/>
      <c r="Q21" s="273"/>
      <c r="R21" s="273"/>
      <c r="S21" s="273"/>
      <c r="T21" s="275"/>
      <c r="U21" s="273"/>
      <c r="V21" s="273"/>
      <c r="W21" s="273"/>
      <c r="X21" s="273"/>
      <c r="Y21" s="273"/>
      <c r="Z21" s="273"/>
      <c r="AA21" s="273"/>
      <c r="AB21" s="273"/>
      <c r="AC21" s="273"/>
      <c r="AD21" s="275"/>
      <c r="AE21" s="273"/>
      <c r="AF21" s="273"/>
      <c r="AG21" s="273"/>
      <c r="AH21" s="273"/>
      <c r="AI21" s="273"/>
      <c r="AJ21" s="273"/>
      <c r="AK21" s="273"/>
      <c r="AL21" s="273"/>
      <c r="AM21" s="273"/>
      <c r="AN21" s="275"/>
      <c r="AO21" s="273"/>
      <c r="AP21" s="273"/>
      <c r="AQ21" s="273"/>
      <c r="AR21" s="273"/>
      <c r="AS21" s="273"/>
      <c r="AT21" s="273"/>
      <c r="AU21" s="273"/>
      <c r="AV21" s="273"/>
      <c r="AW21" s="273"/>
      <c r="AX21" s="285"/>
      <c r="AY21" s="267"/>
      <c r="AZ21" s="267"/>
      <c r="BA21" s="267"/>
      <c r="BB21" s="267"/>
      <c r="BC21" s="267"/>
      <c r="BD21" s="267"/>
      <c r="BE21" s="267"/>
      <c r="BF21" s="267"/>
      <c r="BG21" s="286"/>
      <c r="BH21" s="58"/>
      <c r="BI21" s="296"/>
      <c r="BJ21" s="297"/>
      <c r="BK21" s="297"/>
      <c r="BL21" s="297"/>
      <c r="BM21" s="297"/>
      <c r="BN21" s="29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row>
    <row r="22" spans="1:100" ht="15" customHeight="1" x14ac:dyDescent="0.25">
      <c r="A22" s="58"/>
      <c r="B22" s="356"/>
      <c r="C22" s="356"/>
      <c r="D22" s="357"/>
      <c r="E22" s="331"/>
      <c r="F22" s="332"/>
      <c r="G22" s="332"/>
      <c r="H22" s="332"/>
      <c r="I22" s="337"/>
      <c r="J22" s="275" t="str">
        <f>IF(AND('Mapa final'!$K$124="Muy Alta",'Mapa final'!$O$124="Leve"),CONCATENATE("R",'Mapa final'!$A$124),"")</f>
        <v/>
      </c>
      <c r="K22" s="273"/>
      <c r="L22" s="273" t="str">
        <f>IF(AND('Mapa final'!$K$127="Muy Alta",'Mapa final'!$O$127="Leve"),CONCATENATE("R",'Mapa final'!$A$127),"")</f>
        <v/>
      </c>
      <c r="M22" s="273"/>
      <c r="N22" s="273" t="str">
        <f>IF(AND('Mapa final'!$K$130="Muy Alta",'Mapa final'!$O$130="Leve"),CONCATENATE("R",'Mapa final'!$A$130),"")</f>
        <v/>
      </c>
      <c r="O22" s="273"/>
      <c r="P22" s="273" t="str">
        <f>IF(AND('Mapa final'!$K$133="Muy Alta",'Mapa final'!$O$133="Leve"),CONCATENATE("R",'Mapa final'!$A$133),"")</f>
        <v/>
      </c>
      <c r="Q22" s="273"/>
      <c r="R22" s="273" t="str">
        <f>IF(AND('Mapa final'!$K$136="Muy Alta",'Mapa final'!$O$136="Leve"),CONCATENATE("R",'Mapa final'!$A$136),"")</f>
        <v/>
      </c>
      <c r="S22" s="273"/>
      <c r="T22" s="275" t="str">
        <f>IF(AND('Mapa final'!$K$124="Muy Alta",'Mapa final'!$O$124="Menor"),CONCATENATE("R",'Mapa final'!$A$124),"")</f>
        <v/>
      </c>
      <c r="U22" s="273"/>
      <c r="V22" s="273" t="str">
        <f>IF(AND('Mapa final'!$K$127="Muy Alta",'Mapa final'!$O$127="Menor"),CONCATENATE("R",'Mapa final'!$A$127),"")</f>
        <v/>
      </c>
      <c r="W22" s="273"/>
      <c r="X22" s="273" t="str">
        <f>IF(AND('Mapa final'!$K$130="Muy Alta",'Mapa final'!$O$130="Menor"),CONCATENATE("R",'Mapa final'!$A$130),"")</f>
        <v/>
      </c>
      <c r="Y22" s="273"/>
      <c r="Z22" s="273" t="str">
        <f>IF(AND('Mapa final'!$K$133="Muy Alta",'Mapa final'!$O$133="Menor"),CONCATENATE("R",'Mapa final'!$A$133),"")</f>
        <v/>
      </c>
      <c r="AA22" s="273"/>
      <c r="AB22" s="273" t="str">
        <f>IF(AND('Mapa final'!$K$136="Muy Alta",'Mapa final'!$O$136="Menor"),CONCATENATE("R",'Mapa final'!$A$136),"")</f>
        <v/>
      </c>
      <c r="AC22" s="273"/>
      <c r="AD22" s="275" t="str">
        <f>IF(AND('Mapa final'!$K$124="Muy Alta",'Mapa final'!$O$124="Moderado"),CONCATENATE("R",'Mapa final'!$A$124),"")</f>
        <v>R40</v>
      </c>
      <c r="AE22" s="273"/>
      <c r="AF22" s="273" t="str">
        <f>IF(AND('Mapa final'!$K$127="Muy Alta",'Mapa final'!$O$127="Moderado"),CONCATENATE("R",'Mapa final'!$A$127),"")</f>
        <v/>
      </c>
      <c r="AG22" s="273"/>
      <c r="AH22" s="273" t="str">
        <f>IF(AND('Mapa final'!$K$130="Muy Alta",'Mapa final'!$O$130="Moderado"),CONCATENATE("R",'Mapa final'!$A$130),"")</f>
        <v/>
      </c>
      <c r="AI22" s="273"/>
      <c r="AJ22" s="273" t="str">
        <f>IF(AND('Mapa final'!$K$133="Muy Alta",'Mapa final'!$O$133="Moderado"),CONCATENATE("R",'Mapa final'!$A$133),"")</f>
        <v/>
      </c>
      <c r="AK22" s="273"/>
      <c r="AL22" s="273" t="str">
        <f>IF(AND('Mapa final'!$K$136="Muy Alta",'Mapa final'!$O$136="Moderado"),CONCATENATE("R",'Mapa final'!$A$136),"")</f>
        <v/>
      </c>
      <c r="AM22" s="273"/>
      <c r="AN22" s="275" t="str">
        <f>IF(AND('Mapa final'!$K$124="Muy Alta",'Mapa final'!$O$124="Mayor"),CONCATENATE("R",'Mapa final'!$A$124),"")</f>
        <v/>
      </c>
      <c r="AO22" s="273"/>
      <c r="AP22" s="273" t="str">
        <f>IF(AND('Mapa final'!$K$127="Muy Alta",'Mapa final'!$O$127="Mayor"),CONCATENATE("R",'Mapa final'!$A$127),"")</f>
        <v/>
      </c>
      <c r="AQ22" s="273"/>
      <c r="AR22" s="273" t="str">
        <f>IF(AND('Mapa final'!$K$130="Muy Alta",'Mapa final'!$O$130="Mayor"),CONCATENATE("R",'Mapa final'!$A$130),"")</f>
        <v/>
      </c>
      <c r="AS22" s="273"/>
      <c r="AT22" s="273" t="str">
        <f>IF(AND('Mapa final'!$K$133="Muy Alta",'Mapa final'!$O$133="Mayor"),CONCATENATE("R",'Mapa final'!$A$133),"")</f>
        <v/>
      </c>
      <c r="AU22" s="273"/>
      <c r="AV22" s="273" t="str">
        <f>IF(AND('Mapa final'!$K$136="Muy Alta",'Mapa final'!$O$136="Mayor"),CONCATENATE("R",'Mapa final'!$A$136),"")</f>
        <v/>
      </c>
      <c r="AW22" s="273"/>
      <c r="AX22" s="285" t="str">
        <f>IF(AND('Mapa final'!$K$124="Muy Alta",'Mapa final'!$O$124="Catastrófico"),CONCATENATE("R",'Mapa final'!$A$124),"")</f>
        <v/>
      </c>
      <c r="AY22" s="267"/>
      <c r="AZ22" s="267" t="str">
        <f>IF(AND('Mapa final'!$K$127="Muy Alta",'Mapa final'!$O$127="Catastrófico"),CONCATENATE("R",'Mapa final'!$A$127),"")</f>
        <v/>
      </c>
      <c r="BA22" s="267"/>
      <c r="BB22" s="267" t="str">
        <f>IF(AND('Mapa final'!$K$130="Muy Alta",'Mapa final'!$O$130="Catastrófico"),CONCATENATE("R",'Mapa final'!$A$130),"")</f>
        <v/>
      </c>
      <c r="BC22" s="267"/>
      <c r="BD22" s="267" t="str">
        <f>IF(AND('Mapa final'!$K$133="Muy Alta",'Mapa final'!$O$133="Catastrófico"),CONCATENATE("R",'Mapa final'!$A$133),"")</f>
        <v/>
      </c>
      <c r="BE22" s="267"/>
      <c r="BF22" s="267" t="str">
        <f>IF(AND('Mapa final'!$K$136="Muy Alta",'Mapa final'!$O$136="Catastrófico"),CONCATENATE("R",'Mapa final'!$A$136),"")</f>
        <v/>
      </c>
      <c r="BG22" s="286"/>
      <c r="BH22" s="58"/>
      <c r="BI22" s="296"/>
      <c r="BJ22" s="297"/>
      <c r="BK22" s="297"/>
      <c r="BL22" s="297"/>
      <c r="BM22" s="297"/>
      <c r="BN22" s="29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row>
    <row r="23" spans="1:100" ht="15" customHeight="1" x14ac:dyDescent="0.25">
      <c r="A23" s="58"/>
      <c r="B23" s="356"/>
      <c r="C23" s="356"/>
      <c r="D23" s="357"/>
      <c r="E23" s="331"/>
      <c r="F23" s="332"/>
      <c r="G23" s="332"/>
      <c r="H23" s="332"/>
      <c r="I23" s="337"/>
      <c r="J23" s="275"/>
      <c r="K23" s="273"/>
      <c r="L23" s="273"/>
      <c r="M23" s="273"/>
      <c r="N23" s="273"/>
      <c r="O23" s="273"/>
      <c r="P23" s="273"/>
      <c r="Q23" s="273"/>
      <c r="R23" s="273"/>
      <c r="S23" s="273"/>
      <c r="T23" s="275"/>
      <c r="U23" s="273"/>
      <c r="V23" s="273"/>
      <c r="W23" s="273"/>
      <c r="X23" s="273"/>
      <c r="Y23" s="273"/>
      <c r="Z23" s="273"/>
      <c r="AA23" s="273"/>
      <c r="AB23" s="273"/>
      <c r="AC23" s="273"/>
      <c r="AD23" s="275"/>
      <c r="AE23" s="273"/>
      <c r="AF23" s="273"/>
      <c r="AG23" s="273"/>
      <c r="AH23" s="273"/>
      <c r="AI23" s="273"/>
      <c r="AJ23" s="273"/>
      <c r="AK23" s="273"/>
      <c r="AL23" s="273"/>
      <c r="AM23" s="273"/>
      <c r="AN23" s="275"/>
      <c r="AO23" s="273"/>
      <c r="AP23" s="273"/>
      <c r="AQ23" s="273"/>
      <c r="AR23" s="273"/>
      <c r="AS23" s="273"/>
      <c r="AT23" s="273"/>
      <c r="AU23" s="273"/>
      <c r="AV23" s="273"/>
      <c r="AW23" s="273"/>
      <c r="AX23" s="285"/>
      <c r="AY23" s="267"/>
      <c r="AZ23" s="267"/>
      <c r="BA23" s="267"/>
      <c r="BB23" s="267"/>
      <c r="BC23" s="267"/>
      <c r="BD23" s="267"/>
      <c r="BE23" s="267"/>
      <c r="BF23" s="267"/>
      <c r="BG23" s="286"/>
      <c r="BH23" s="58"/>
      <c r="BI23" s="296"/>
      <c r="BJ23" s="297"/>
      <c r="BK23" s="297"/>
      <c r="BL23" s="297"/>
      <c r="BM23" s="297"/>
      <c r="BN23" s="29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row>
    <row r="24" spans="1:100" ht="15" customHeight="1" x14ac:dyDescent="0.25">
      <c r="A24" s="58"/>
      <c r="B24" s="356"/>
      <c r="C24" s="356"/>
      <c r="D24" s="357"/>
      <c r="E24" s="331"/>
      <c r="F24" s="332"/>
      <c r="G24" s="332"/>
      <c r="H24" s="332"/>
      <c r="I24" s="337"/>
      <c r="J24" s="275" t="str">
        <f>IF(AND('Mapa final'!$K$139="Muy Alta",'Mapa final'!$O$139="Leve"),CONCATENATE("R",'Mapa final'!$A$139),"")</f>
        <v/>
      </c>
      <c r="K24" s="273"/>
      <c r="L24" s="273" t="str">
        <f>IF(AND('Mapa final'!$K$142="Muy Alta",'Mapa final'!$O$142="Leve"),CONCATENATE("R",'Mapa final'!$A$142),"")</f>
        <v/>
      </c>
      <c r="M24" s="273"/>
      <c r="N24" s="273" t="str">
        <f>IF(AND('Mapa final'!$K$145="Muy Alta",'Mapa final'!$O$145="Leve"),CONCATENATE("R",'Mapa final'!$A$145),"")</f>
        <v/>
      </c>
      <c r="O24" s="273"/>
      <c r="P24" s="273" t="str">
        <f>IF(AND('Mapa final'!$K$148="Muy Alta",'Mapa final'!$O$148="Leve"),CONCATENATE("R",'Mapa final'!$A$148),"")</f>
        <v/>
      </c>
      <c r="Q24" s="273"/>
      <c r="R24" s="273" t="str">
        <f>IF(AND('Mapa final'!$K$151="Muy Alta",'Mapa final'!$O$151="Leve"),CONCATENATE("R",'Mapa final'!$A$151),"")</f>
        <v/>
      </c>
      <c r="S24" s="273"/>
      <c r="T24" s="275" t="str">
        <f>IF(AND('Mapa final'!$K$139="Muy Alta",'Mapa final'!$O$139="Menor"),CONCATENATE("R",'Mapa final'!$A$139),"")</f>
        <v/>
      </c>
      <c r="U24" s="273"/>
      <c r="V24" s="273" t="str">
        <f>IF(AND('Mapa final'!$K$142="Muy Alta",'Mapa final'!$O$142="Menor"),CONCATENATE("R",'Mapa final'!$A$142),"")</f>
        <v/>
      </c>
      <c r="W24" s="273"/>
      <c r="X24" s="273" t="str">
        <f>IF(AND('Mapa final'!$K$145="Muy Alta",'Mapa final'!$O$145="Menor"),CONCATENATE("R",'Mapa final'!$A$145),"")</f>
        <v/>
      </c>
      <c r="Y24" s="273"/>
      <c r="Z24" s="273" t="str">
        <f>IF(AND('Mapa final'!$K$148="Muy Alta",'Mapa final'!$O$148="Menor"),CONCATENATE("R",'Mapa final'!$A$148),"")</f>
        <v/>
      </c>
      <c r="AA24" s="273"/>
      <c r="AB24" s="273" t="str">
        <f>IF(AND('Mapa final'!$K$151="Muy Alta",'Mapa final'!$O$151="Menor"),CONCATENATE("R",'Mapa final'!$A$151),"")</f>
        <v/>
      </c>
      <c r="AC24" s="273"/>
      <c r="AD24" s="275" t="str">
        <f>IF(AND('Mapa final'!$K$139="Muy Alta",'Mapa final'!$O$139="Moderado"),CONCATENATE("R",'Mapa final'!$A$139),"")</f>
        <v/>
      </c>
      <c r="AE24" s="273"/>
      <c r="AF24" s="273" t="str">
        <f>IF(AND('Mapa final'!$K$142="Muy Alta",'Mapa final'!$O$142="Moderado"),CONCATENATE("R",'Mapa final'!$A$142),"")</f>
        <v/>
      </c>
      <c r="AG24" s="273"/>
      <c r="AH24" s="273" t="str">
        <f>IF(AND('Mapa final'!$K$145="Muy Alta",'Mapa final'!$O$145="Moderado"),CONCATENATE("R",'Mapa final'!$A$145),"")</f>
        <v/>
      </c>
      <c r="AI24" s="273"/>
      <c r="AJ24" s="273" t="str">
        <f>IF(AND('Mapa final'!$K$148="Muy Alta",'Mapa final'!$O$148="Moderado"),CONCATENATE("R",'Mapa final'!$A$148),"")</f>
        <v/>
      </c>
      <c r="AK24" s="273"/>
      <c r="AL24" s="273" t="str">
        <f>IF(AND('Mapa final'!$K$151="Muy Alta",'Mapa final'!$O$151="Moderado"),CONCATENATE("R",'Mapa final'!$A$151),"")</f>
        <v/>
      </c>
      <c r="AM24" s="273"/>
      <c r="AN24" s="275" t="str">
        <f>IF(AND('Mapa final'!$K$139="Muy Alta",'Mapa final'!$O$139="Mayor"),CONCATENATE("R",'Mapa final'!$A$139),"")</f>
        <v/>
      </c>
      <c r="AO24" s="273"/>
      <c r="AP24" s="273" t="str">
        <f>IF(AND('Mapa final'!$K$142="Muy Alta",'Mapa final'!$O$142="Mayor"),CONCATENATE("R",'Mapa final'!$A$142),"")</f>
        <v/>
      </c>
      <c r="AQ24" s="273"/>
      <c r="AR24" s="273" t="str">
        <f>IF(AND('Mapa final'!$K$145="Muy Alta",'Mapa final'!$O$145="Mayor"),CONCATENATE("R",'Mapa final'!$A$145),"")</f>
        <v/>
      </c>
      <c r="AS24" s="273"/>
      <c r="AT24" s="273" t="str">
        <f>IF(AND('Mapa final'!$K$148="Muy Alta",'Mapa final'!$O$148="Mayor"),CONCATENATE("R",'Mapa final'!$A$148),"")</f>
        <v/>
      </c>
      <c r="AU24" s="273"/>
      <c r="AV24" s="273" t="str">
        <f>IF(AND('Mapa final'!$K$151="Muy Alta",'Mapa final'!$O$151="Mayor"),CONCATENATE("R",'Mapa final'!$A$151),"")</f>
        <v/>
      </c>
      <c r="AW24" s="273"/>
      <c r="AX24" s="285" t="str">
        <f>IF(AND('Mapa final'!$K$139="Muy Alta",'Mapa final'!$O$139="Catastrófico"),CONCATENATE("R",'Mapa final'!$A$139),"")</f>
        <v/>
      </c>
      <c r="AY24" s="267"/>
      <c r="AZ24" s="267" t="str">
        <f>IF(AND('Mapa final'!$K$142="Muy Alta",'Mapa final'!$O$142="Catastrófico"),CONCATENATE("R",'Mapa final'!$A$142),"")</f>
        <v/>
      </c>
      <c r="BA24" s="267"/>
      <c r="BB24" s="267" t="str">
        <f>IF(AND('Mapa final'!$K$145="Muy Alta",'Mapa final'!$O$145="Catastrófico"),CONCATENATE("R",'Mapa final'!$A$145),"")</f>
        <v/>
      </c>
      <c r="BC24" s="267"/>
      <c r="BD24" s="267" t="str">
        <f>IF(AND('Mapa final'!$K$148="Muy Alta",'Mapa final'!$O$148="Catastrófico"),CONCATENATE("R",'Mapa final'!$A$148),"")</f>
        <v/>
      </c>
      <c r="BE24" s="267"/>
      <c r="BF24" s="267" t="str">
        <f>IF(AND('Mapa final'!$K$151="Muy Alta",'Mapa final'!$O$151="Catastrófico"),CONCATENATE("R",'Mapa final'!$A$151),"")</f>
        <v/>
      </c>
      <c r="BG24" s="286"/>
      <c r="BH24" s="58"/>
      <c r="BI24" s="296"/>
      <c r="BJ24" s="297"/>
      <c r="BK24" s="297"/>
      <c r="BL24" s="297"/>
      <c r="BM24" s="297"/>
      <c r="BN24" s="29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row>
    <row r="25" spans="1:100" ht="15.75" customHeight="1" thickBot="1" x14ac:dyDescent="0.3">
      <c r="A25" s="58"/>
      <c r="B25" s="356"/>
      <c r="C25" s="356"/>
      <c r="D25" s="357"/>
      <c r="E25" s="334"/>
      <c r="F25" s="335"/>
      <c r="G25" s="335"/>
      <c r="H25" s="335"/>
      <c r="I25" s="338"/>
      <c r="J25" s="275"/>
      <c r="K25" s="273"/>
      <c r="L25" s="273"/>
      <c r="M25" s="273"/>
      <c r="N25" s="273"/>
      <c r="O25" s="273"/>
      <c r="P25" s="273"/>
      <c r="Q25" s="273"/>
      <c r="R25" s="273"/>
      <c r="S25" s="273"/>
      <c r="T25" s="275"/>
      <c r="U25" s="273"/>
      <c r="V25" s="273"/>
      <c r="W25" s="273"/>
      <c r="X25" s="273"/>
      <c r="Y25" s="273"/>
      <c r="Z25" s="273"/>
      <c r="AA25" s="273"/>
      <c r="AB25" s="273"/>
      <c r="AC25" s="273"/>
      <c r="AD25" s="275"/>
      <c r="AE25" s="273"/>
      <c r="AF25" s="273"/>
      <c r="AG25" s="273"/>
      <c r="AH25" s="273"/>
      <c r="AI25" s="273"/>
      <c r="AJ25" s="273"/>
      <c r="AK25" s="273"/>
      <c r="AL25" s="273"/>
      <c r="AM25" s="273"/>
      <c r="AN25" s="275"/>
      <c r="AO25" s="273"/>
      <c r="AP25" s="273"/>
      <c r="AQ25" s="273"/>
      <c r="AR25" s="273"/>
      <c r="AS25" s="273"/>
      <c r="AT25" s="273"/>
      <c r="AU25" s="273"/>
      <c r="AV25" s="273"/>
      <c r="AW25" s="273"/>
      <c r="AX25" s="285"/>
      <c r="AY25" s="267"/>
      <c r="AZ25" s="267"/>
      <c r="BA25" s="267"/>
      <c r="BB25" s="267"/>
      <c r="BC25" s="267"/>
      <c r="BD25" s="267"/>
      <c r="BE25" s="267"/>
      <c r="BF25" s="267"/>
      <c r="BG25" s="286"/>
      <c r="BH25" s="58"/>
      <c r="BI25" s="296"/>
      <c r="BJ25" s="297"/>
      <c r="BK25" s="297"/>
      <c r="BL25" s="297"/>
      <c r="BM25" s="297"/>
      <c r="BN25" s="29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row>
    <row r="26" spans="1:100" ht="15" customHeight="1" x14ac:dyDescent="0.25">
      <c r="A26" s="58"/>
      <c r="B26" s="356"/>
      <c r="C26" s="356"/>
      <c r="D26" s="357"/>
      <c r="E26" s="329" t="s">
        <v>109</v>
      </c>
      <c r="F26" s="330"/>
      <c r="G26" s="330"/>
      <c r="H26" s="330"/>
      <c r="I26" s="330"/>
      <c r="J26" s="277" t="str">
        <f>IF(AND('Mapa final'!$K$7="Alta",'Mapa final'!$O$7="Leve"),CONCATENATE("R",'Mapa final'!$A$7),"")</f>
        <v/>
      </c>
      <c r="K26" s="278"/>
      <c r="L26" s="278" t="str">
        <f>IF(AND('Mapa final'!$K$10="Alta",'Mapa final'!$O$10="Leve"),CONCATENATE("R",'Mapa final'!$A$10),"")</f>
        <v/>
      </c>
      <c r="M26" s="278"/>
      <c r="N26" s="278" t="str">
        <f>IF(AND('Mapa final'!$K$13="Alta",'Mapa final'!$O$13="Leve"),CONCATENATE("R",'Mapa final'!$A$13),"")</f>
        <v/>
      </c>
      <c r="O26" s="278"/>
      <c r="P26" s="278" t="str">
        <f>IF(AND('Mapa final'!$K$16="Alta",'Mapa final'!$O$16="Leve"),CONCATENATE("R",'Mapa final'!$A$16),"")</f>
        <v/>
      </c>
      <c r="Q26" s="278"/>
      <c r="R26" s="278" t="str">
        <f>IF(AND('Mapa final'!$K$19="Alta",'Mapa final'!$O$19="Leve"),CONCATENATE("R",'Mapa final'!$A$19),"")</f>
        <v/>
      </c>
      <c r="S26" s="279"/>
      <c r="T26" s="277" t="str">
        <f>IF(AND('Mapa final'!$K$7="Alta",'Mapa final'!$O$7="Menor"),CONCATENATE("R",'Mapa final'!$A$7),"")</f>
        <v/>
      </c>
      <c r="U26" s="278"/>
      <c r="V26" s="278" t="str">
        <f>IF(AND('Mapa final'!$K$10="Alta",'Mapa final'!$O$10="Menor"),CONCATENATE("R",'Mapa final'!$A$10),"")</f>
        <v/>
      </c>
      <c r="W26" s="278"/>
      <c r="X26" s="278" t="str">
        <f>IF(AND('Mapa final'!$K$13="Alta",'Mapa final'!$O$13="Menor"),CONCATENATE("R",'Mapa final'!$A$13),"")</f>
        <v/>
      </c>
      <c r="Y26" s="278"/>
      <c r="Z26" s="278" t="str">
        <f>IF(AND('Mapa final'!$K$16="Alta",'Mapa final'!$O$16="Menor"),CONCATENATE("R",'Mapa final'!$A$16),"")</f>
        <v/>
      </c>
      <c r="AA26" s="278"/>
      <c r="AB26" s="278" t="str">
        <f>IF(AND('Mapa final'!$K$19="Alta",'Mapa final'!$O$19="Menor"),CONCATENATE("R",'Mapa final'!$A$19),"")</f>
        <v/>
      </c>
      <c r="AC26" s="279"/>
      <c r="AD26" s="283" t="str">
        <f>IF(AND('Mapa final'!$K$7="Alta",'Mapa final'!$O$7="Moderado"),CONCATENATE("R",'Mapa final'!$A$7),"")</f>
        <v/>
      </c>
      <c r="AE26" s="284"/>
      <c r="AF26" s="284" t="str">
        <f>IF(AND('Mapa final'!$K$10="Alta",'Mapa final'!$O$10="Moderado"),CONCATENATE("R",'Mapa final'!$A$10),"")</f>
        <v/>
      </c>
      <c r="AG26" s="284"/>
      <c r="AH26" s="284" t="str">
        <f>IF(AND('Mapa final'!$K$13="Alta",'Mapa final'!$O$13="Moderado"),CONCATENATE("R",'Mapa final'!$A$13),"")</f>
        <v>R3</v>
      </c>
      <c r="AI26" s="284"/>
      <c r="AJ26" s="284" t="str">
        <f>IF(AND('Mapa final'!$K$16="Alta",'Mapa final'!$O$16="Moderado"),CONCATENATE("R",'Mapa final'!$A$16),"")</f>
        <v/>
      </c>
      <c r="AK26" s="284"/>
      <c r="AL26" s="284" t="str">
        <f>IF(AND('Mapa final'!$K$19="Alta",'Mapa final'!$O$19="Moderado"),CONCATENATE("R",'Mapa final'!$A$19),"")</f>
        <v/>
      </c>
      <c r="AM26" s="284"/>
      <c r="AN26" s="283" t="str">
        <f>IF(AND('Mapa final'!$K$7="Alta",'Mapa final'!$O$7="Mayor"),CONCATENATE("R",'Mapa final'!$A$7),"")</f>
        <v/>
      </c>
      <c r="AO26" s="284"/>
      <c r="AP26" s="284" t="str">
        <f>IF(AND('Mapa final'!$K$10="Alta",'Mapa final'!$O$10="Mayor"),CONCATENATE("R",'Mapa final'!$A$10),"")</f>
        <v/>
      </c>
      <c r="AQ26" s="284"/>
      <c r="AR26" s="284" t="str">
        <f>IF(AND('Mapa final'!$K$13="Alta",'Mapa final'!$O$13="Mayor"),CONCATENATE("R",'Mapa final'!$A$13),"")</f>
        <v/>
      </c>
      <c r="AS26" s="284"/>
      <c r="AT26" s="284" t="str">
        <f>IF(AND('Mapa final'!$K$16="Alta",'Mapa final'!$O$16="Mayor"),CONCATENATE("R",'Mapa final'!$A$16),"")</f>
        <v/>
      </c>
      <c r="AU26" s="284"/>
      <c r="AV26" s="284" t="str">
        <f>IF(AND('Mapa final'!$K$19="Alta",'Mapa final'!$O$19="Mayor"),CONCATENATE("R",'Mapa final'!$A$19),"")</f>
        <v/>
      </c>
      <c r="AW26" s="284"/>
      <c r="AX26" s="288" t="str">
        <f>IF(AND('Mapa final'!$K$7="Alta",'Mapa final'!$O$7="Catastrófico"),CONCATENATE("R",'Mapa final'!$A$7),"")</f>
        <v/>
      </c>
      <c r="AY26" s="289"/>
      <c r="AZ26" s="289" t="str">
        <f>IF(AND('Mapa final'!$K$10="Alta",'Mapa final'!$O$10="Catastrófico"),CONCATENATE("R",'Mapa final'!$A$10),"")</f>
        <v/>
      </c>
      <c r="BA26" s="289"/>
      <c r="BB26" s="289" t="str">
        <f>IF(AND('Mapa final'!$K$13="Alta",'Mapa final'!$O$13="Catastrófico"),CONCATENATE("R",'Mapa final'!$A$13),"")</f>
        <v/>
      </c>
      <c r="BC26" s="289"/>
      <c r="BD26" s="289" t="str">
        <f>IF(AND('Mapa final'!$K$16="Alta",'Mapa final'!$O$16="Catastrófico"),CONCATENATE("R",'Mapa final'!$A$16),"")</f>
        <v/>
      </c>
      <c r="BE26" s="289"/>
      <c r="BF26" s="289" t="str">
        <f>IF(AND('Mapa final'!$K$19="Alta",'Mapa final'!$O$19="Catastrófico"),CONCATENATE("R",'Mapa final'!$A$19),"")</f>
        <v/>
      </c>
      <c r="BG26" s="347"/>
      <c r="BH26" s="58"/>
      <c r="BI26" s="296"/>
      <c r="BJ26" s="297"/>
      <c r="BK26" s="297"/>
      <c r="BL26" s="297"/>
      <c r="BM26" s="297"/>
      <c r="BN26" s="29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row>
    <row r="27" spans="1:100" ht="15" customHeight="1" x14ac:dyDescent="0.25">
      <c r="A27" s="58"/>
      <c r="B27" s="356"/>
      <c r="C27" s="356"/>
      <c r="D27" s="357"/>
      <c r="E27" s="331"/>
      <c r="F27" s="332"/>
      <c r="G27" s="332"/>
      <c r="H27" s="332"/>
      <c r="I27" s="333"/>
      <c r="J27" s="272"/>
      <c r="K27" s="270"/>
      <c r="L27" s="270"/>
      <c r="M27" s="270"/>
      <c r="N27" s="270"/>
      <c r="O27" s="270"/>
      <c r="P27" s="270"/>
      <c r="Q27" s="270"/>
      <c r="R27" s="270"/>
      <c r="S27" s="271"/>
      <c r="T27" s="272"/>
      <c r="U27" s="270"/>
      <c r="V27" s="270"/>
      <c r="W27" s="270"/>
      <c r="X27" s="270"/>
      <c r="Y27" s="270"/>
      <c r="Z27" s="270"/>
      <c r="AA27" s="270"/>
      <c r="AB27" s="270"/>
      <c r="AC27" s="271"/>
      <c r="AD27" s="275"/>
      <c r="AE27" s="273"/>
      <c r="AF27" s="273"/>
      <c r="AG27" s="273"/>
      <c r="AH27" s="273"/>
      <c r="AI27" s="273"/>
      <c r="AJ27" s="273"/>
      <c r="AK27" s="273"/>
      <c r="AL27" s="273"/>
      <c r="AM27" s="273"/>
      <c r="AN27" s="275"/>
      <c r="AO27" s="273"/>
      <c r="AP27" s="273"/>
      <c r="AQ27" s="273"/>
      <c r="AR27" s="273"/>
      <c r="AS27" s="273"/>
      <c r="AT27" s="273"/>
      <c r="AU27" s="273"/>
      <c r="AV27" s="273"/>
      <c r="AW27" s="273"/>
      <c r="AX27" s="285"/>
      <c r="AY27" s="267"/>
      <c r="AZ27" s="267"/>
      <c r="BA27" s="267"/>
      <c r="BB27" s="267"/>
      <c r="BC27" s="267"/>
      <c r="BD27" s="267"/>
      <c r="BE27" s="267"/>
      <c r="BF27" s="267"/>
      <c r="BG27" s="286"/>
      <c r="BH27" s="58"/>
      <c r="BI27" s="296"/>
      <c r="BJ27" s="297"/>
      <c r="BK27" s="297"/>
      <c r="BL27" s="297"/>
      <c r="BM27" s="297"/>
      <c r="BN27" s="29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row>
    <row r="28" spans="1:100" ht="15" customHeight="1" x14ac:dyDescent="0.25">
      <c r="A28" s="58"/>
      <c r="B28" s="356"/>
      <c r="C28" s="356"/>
      <c r="D28" s="357"/>
      <c r="E28" s="331"/>
      <c r="F28" s="332"/>
      <c r="G28" s="332"/>
      <c r="H28" s="332"/>
      <c r="I28" s="333"/>
      <c r="J28" s="272" t="str">
        <f>IF(AND('Mapa final'!$K$22="Alta",'Mapa final'!$O$22="Leve"),CONCATENATE("R",'Mapa final'!$A$22),"")</f>
        <v/>
      </c>
      <c r="K28" s="270"/>
      <c r="L28" s="270" t="str">
        <f>IF(AND('Mapa final'!$K$25="Alta",'Mapa final'!$O$25="Leve"),CONCATENATE("R",'Mapa final'!$A$25),"")</f>
        <v/>
      </c>
      <c r="M28" s="270"/>
      <c r="N28" s="270" t="str">
        <f>IF(AND('Mapa final'!$K$28="Alta",'Mapa final'!$O$28="Leve"),CONCATENATE("R",'Mapa final'!$A$28),"")</f>
        <v/>
      </c>
      <c r="O28" s="270"/>
      <c r="P28" s="270" t="str">
        <f>IF(AND('Mapa final'!$K$31="Alta",'Mapa final'!$O$31="Leve"),CONCATENATE("R",'Mapa final'!$A$31),"")</f>
        <v/>
      </c>
      <c r="Q28" s="270"/>
      <c r="R28" s="270" t="str">
        <f>IF(AND('Mapa final'!$K$34="Alta",'Mapa final'!$O$34="Leve"),CONCATENATE("R",'Mapa final'!$A$34),"")</f>
        <v/>
      </c>
      <c r="S28" s="271"/>
      <c r="T28" s="272" t="str">
        <f>IF(AND('Mapa final'!$K$22="Alta",'Mapa final'!$O$22="Menor"),CONCATENATE("R",'Mapa final'!$A$22),"")</f>
        <v/>
      </c>
      <c r="U28" s="270"/>
      <c r="V28" s="270" t="str">
        <f>IF(AND('Mapa final'!$K$25="Alta",'Mapa final'!$O$25="Menor"),CONCATENATE("R",'Mapa final'!$A$25),"")</f>
        <v/>
      </c>
      <c r="W28" s="270"/>
      <c r="X28" s="270" t="str">
        <f>IF(AND('Mapa final'!$K$28="Alta",'Mapa final'!$O$28="Menor"),CONCATENATE("R",'Mapa final'!$A$28),"")</f>
        <v/>
      </c>
      <c r="Y28" s="270"/>
      <c r="Z28" s="270" t="str">
        <f>IF(AND('Mapa final'!$K$31="Alta",'Mapa final'!$O$31="Menor"),CONCATENATE("R",'Mapa final'!$A$31),"")</f>
        <v/>
      </c>
      <c r="AA28" s="270"/>
      <c r="AB28" s="270" t="str">
        <f>IF(AND('Mapa final'!$K$34="Alta",'Mapa final'!$O$34="Menor"),CONCATENATE("R",'Mapa final'!$A$34),"")</f>
        <v/>
      </c>
      <c r="AC28" s="271"/>
      <c r="AD28" s="275" t="str">
        <f>IF(AND('Mapa final'!$K$22="Alta",'Mapa final'!$O$22="Moderado"),CONCATENATE("R",'Mapa final'!$A$22),"")</f>
        <v/>
      </c>
      <c r="AE28" s="273"/>
      <c r="AF28" s="273" t="str">
        <f>IF(AND('Mapa final'!$K$25="Alta",'Mapa final'!$O$25="Moderado"),CONCATENATE("R",'Mapa final'!$A$25),"")</f>
        <v/>
      </c>
      <c r="AG28" s="273"/>
      <c r="AH28" s="273" t="str">
        <f>IF(AND('Mapa final'!$K$28="Alta",'Mapa final'!$O$28="Moderado"),CONCATENATE("R",'Mapa final'!$A$28),"")</f>
        <v>R8</v>
      </c>
      <c r="AI28" s="273"/>
      <c r="AJ28" s="273" t="str">
        <f>IF(AND('Mapa final'!$K$31="Alta",'Mapa final'!$O$31="Moderado"),CONCATENATE("R",'Mapa final'!$A$31),"")</f>
        <v/>
      </c>
      <c r="AK28" s="273"/>
      <c r="AL28" s="273" t="str">
        <f>IF(AND('Mapa final'!$K$34="Alta",'Mapa final'!$O$34="Moderado"),CONCATENATE("R",'Mapa final'!$A$34),"")</f>
        <v>R10</v>
      </c>
      <c r="AM28" s="273"/>
      <c r="AN28" s="275" t="str">
        <f>IF(AND('Mapa final'!$K$22="Alta",'Mapa final'!$O$22="Mayor"),CONCATENATE("R",'Mapa final'!$A$22),"")</f>
        <v/>
      </c>
      <c r="AO28" s="273"/>
      <c r="AP28" s="273" t="str">
        <f>IF(AND('Mapa final'!$K$25="Alta",'Mapa final'!$O$25="Mayor"),CONCATENATE("R",'Mapa final'!$A$25),"")</f>
        <v/>
      </c>
      <c r="AQ28" s="273"/>
      <c r="AR28" s="273" t="str">
        <f>IF(AND('Mapa final'!$K$28="Alta",'Mapa final'!$O$28="Mayor"),CONCATENATE("R",'Mapa final'!$A$28),"")</f>
        <v/>
      </c>
      <c r="AS28" s="273"/>
      <c r="AT28" s="273" t="str">
        <f>IF(AND('Mapa final'!$K$31="Alta",'Mapa final'!$O$31="Mayor"),CONCATENATE("R",'Mapa final'!$A$31),"")</f>
        <v>R9</v>
      </c>
      <c r="AU28" s="273"/>
      <c r="AV28" s="273" t="str">
        <f>IF(AND('Mapa final'!$K$34="Alta",'Mapa final'!$O$34="Mayor"),CONCATENATE("R",'Mapa final'!$A$34),"")</f>
        <v/>
      </c>
      <c r="AW28" s="273"/>
      <c r="AX28" s="285" t="str">
        <f>IF(AND('Mapa final'!$K$22="Alta",'Mapa final'!$O$22="Catastrófico"),CONCATENATE("R",'Mapa final'!$A$22),"")</f>
        <v/>
      </c>
      <c r="AY28" s="267"/>
      <c r="AZ28" s="267" t="str">
        <f>IF(AND('Mapa final'!$K$25="Alta",'Mapa final'!$O$25="Catastrófico"),CONCATENATE("R",'Mapa final'!$A$25),"")</f>
        <v/>
      </c>
      <c r="BA28" s="267"/>
      <c r="BB28" s="267" t="str">
        <f>IF(AND('Mapa final'!$K$28="Alta",'Mapa final'!$O$28="Catastrófico"),CONCATENATE("R",'Mapa final'!$A$28),"")</f>
        <v/>
      </c>
      <c r="BC28" s="267"/>
      <c r="BD28" s="267" t="str">
        <f>IF(AND('Mapa final'!$K$31="Alta",'Mapa final'!$O$31="Catastrófico"),CONCATENATE("R",'Mapa final'!$A$31),"")</f>
        <v/>
      </c>
      <c r="BE28" s="267"/>
      <c r="BF28" s="267" t="str">
        <f>IF(AND('Mapa final'!$K$34="Alta",'Mapa final'!$O$34="Catastrófico"),CONCATENATE("R",'Mapa final'!$A$34),"")</f>
        <v/>
      </c>
      <c r="BG28" s="286"/>
      <c r="BH28" s="58"/>
      <c r="BI28" s="296"/>
      <c r="BJ28" s="297"/>
      <c r="BK28" s="297"/>
      <c r="BL28" s="297"/>
      <c r="BM28" s="297"/>
      <c r="BN28" s="29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row>
    <row r="29" spans="1:100" ht="15" customHeight="1" x14ac:dyDescent="0.25">
      <c r="A29" s="58"/>
      <c r="B29" s="356"/>
      <c r="C29" s="356"/>
      <c r="D29" s="357"/>
      <c r="E29" s="331"/>
      <c r="F29" s="332"/>
      <c r="G29" s="332"/>
      <c r="H29" s="332"/>
      <c r="I29" s="333"/>
      <c r="J29" s="272"/>
      <c r="K29" s="270"/>
      <c r="L29" s="270"/>
      <c r="M29" s="270"/>
      <c r="N29" s="270"/>
      <c r="O29" s="270"/>
      <c r="P29" s="270"/>
      <c r="Q29" s="270"/>
      <c r="R29" s="270"/>
      <c r="S29" s="271"/>
      <c r="T29" s="272"/>
      <c r="U29" s="270"/>
      <c r="V29" s="270"/>
      <c r="W29" s="270"/>
      <c r="X29" s="270"/>
      <c r="Y29" s="270"/>
      <c r="Z29" s="270"/>
      <c r="AA29" s="270"/>
      <c r="AB29" s="270"/>
      <c r="AC29" s="271"/>
      <c r="AD29" s="275"/>
      <c r="AE29" s="273"/>
      <c r="AF29" s="273"/>
      <c r="AG29" s="273"/>
      <c r="AH29" s="273"/>
      <c r="AI29" s="273"/>
      <c r="AJ29" s="273"/>
      <c r="AK29" s="273"/>
      <c r="AL29" s="273"/>
      <c r="AM29" s="273"/>
      <c r="AN29" s="275"/>
      <c r="AO29" s="273"/>
      <c r="AP29" s="273"/>
      <c r="AQ29" s="273"/>
      <c r="AR29" s="273"/>
      <c r="AS29" s="273"/>
      <c r="AT29" s="273"/>
      <c r="AU29" s="273"/>
      <c r="AV29" s="273"/>
      <c r="AW29" s="273"/>
      <c r="AX29" s="285"/>
      <c r="AY29" s="267"/>
      <c r="AZ29" s="267"/>
      <c r="BA29" s="267"/>
      <c r="BB29" s="267"/>
      <c r="BC29" s="267"/>
      <c r="BD29" s="267"/>
      <c r="BE29" s="267"/>
      <c r="BF29" s="267"/>
      <c r="BG29" s="286"/>
      <c r="BH29" s="58"/>
      <c r="BI29" s="296"/>
      <c r="BJ29" s="297"/>
      <c r="BK29" s="297"/>
      <c r="BL29" s="297"/>
      <c r="BM29" s="297"/>
      <c r="BN29" s="29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row>
    <row r="30" spans="1:100" ht="15" customHeight="1" x14ac:dyDescent="0.25">
      <c r="A30" s="58"/>
      <c r="B30" s="356"/>
      <c r="C30" s="356"/>
      <c r="D30" s="357"/>
      <c r="E30" s="331"/>
      <c r="F30" s="332"/>
      <c r="G30" s="332"/>
      <c r="H30" s="332"/>
      <c r="I30" s="333"/>
      <c r="J30" s="272" t="str">
        <f>IF(AND('Mapa final'!$K$37="Alta",'Mapa final'!$O$37="Leve"),CONCATENATE("R",'Mapa final'!$A$37),"")</f>
        <v/>
      </c>
      <c r="K30" s="270"/>
      <c r="L30" s="270" t="str">
        <f>IF(AND('Mapa final'!$K$40="Alta",'Mapa final'!$O$40="Leve"),CONCATENATE("R",'Mapa final'!$A$40),"")</f>
        <v/>
      </c>
      <c r="M30" s="270"/>
      <c r="N30" s="270" t="str">
        <f>IF(AND('Mapa final'!$K$43="Alta",'Mapa final'!$O$43="Leve"),CONCATENATE("R",'Mapa final'!$A$43),"")</f>
        <v/>
      </c>
      <c r="O30" s="270"/>
      <c r="P30" s="270" t="e">
        <f>IF(AND('Mapa final'!#REF!="Alta",'Mapa final'!#REF!="Leve"),CONCATENATE("R",'Mapa final'!#REF!),"")</f>
        <v>#REF!</v>
      </c>
      <c r="Q30" s="270"/>
      <c r="R30" s="270" t="str">
        <f>IF(AND('Mapa final'!$K$46="Alta",'Mapa final'!$O$46="Leve"),CONCATENATE("R",'Mapa final'!$A$46),"")</f>
        <v/>
      </c>
      <c r="S30" s="271"/>
      <c r="T30" s="272" t="str">
        <f>IF(AND('Mapa final'!$K$37="Alta",'Mapa final'!$O$37="Menor"),CONCATENATE("R",'Mapa final'!$A$37),"")</f>
        <v/>
      </c>
      <c r="U30" s="270"/>
      <c r="V30" s="270" t="str">
        <f>IF(AND('Mapa final'!$K$40="Alta",'Mapa final'!$O$40="Menor"),CONCATENATE("R",'Mapa final'!$A$40),"")</f>
        <v/>
      </c>
      <c r="W30" s="270"/>
      <c r="X30" s="270" t="str">
        <f>IF(AND('Mapa final'!$K$43="Alta",'Mapa final'!$O$43="Menor"),CONCATENATE("R",'Mapa final'!$A$43),"")</f>
        <v/>
      </c>
      <c r="Y30" s="270"/>
      <c r="Z30" s="270" t="e">
        <f>IF(AND('Mapa final'!#REF!="Alta",'Mapa final'!#REF!="Menor"),CONCATENATE("R",'Mapa final'!#REF!),"")</f>
        <v>#REF!</v>
      </c>
      <c r="AA30" s="270"/>
      <c r="AB30" s="270" t="str">
        <f>IF(AND('Mapa final'!$K$46="Alta",'Mapa final'!$O$46="Menor"),CONCATENATE("R",'Mapa final'!$A$46),"")</f>
        <v/>
      </c>
      <c r="AC30" s="271"/>
      <c r="AD30" s="275" t="str">
        <f>IF(AND('Mapa final'!$K$37="Alta",'Mapa final'!$O$37="Moderado"),CONCATENATE("R",'Mapa final'!$A$37),"")</f>
        <v/>
      </c>
      <c r="AE30" s="273"/>
      <c r="AF30" s="273" t="str">
        <f>IF(AND('Mapa final'!$K$40="Alta",'Mapa final'!$O$40="Moderado"),CONCATENATE("R",'Mapa final'!$A$40),"")</f>
        <v/>
      </c>
      <c r="AG30" s="273"/>
      <c r="AH30" s="273" t="str">
        <f>IF(AND('Mapa final'!$K$43="Alta",'Mapa final'!$O$43="Moderado"),CONCATENATE("R",'Mapa final'!$A$43),"")</f>
        <v/>
      </c>
      <c r="AI30" s="273"/>
      <c r="AJ30" s="273" t="e">
        <f>IF(AND('Mapa final'!#REF!="Alta",'Mapa final'!#REF!="Moderado"),CONCATENATE("R",'Mapa final'!#REF!),"")</f>
        <v>#REF!</v>
      </c>
      <c r="AK30" s="273"/>
      <c r="AL30" s="273" t="str">
        <f>IF(AND('Mapa final'!$K$46="Alta",'Mapa final'!$O$46="Moderado"),CONCATENATE("R",'Mapa final'!$A$46),"")</f>
        <v/>
      </c>
      <c r="AM30" s="273"/>
      <c r="AN30" s="275" t="str">
        <f>IF(AND('Mapa final'!$K$37="Alta",'Mapa final'!$O$37="Mayor"),CONCATENATE("R",'Mapa final'!$A$37),"")</f>
        <v/>
      </c>
      <c r="AO30" s="273"/>
      <c r="AP30" s="273" t="str">
        <f>IF(AND('Mapa final'!$K$40="Alta",'Mapa final'!$O$40="Mayor"),CONCATENATE("R",'Mapa final'!$A$40),"")</f>
        <v/>
      </c>
      <c r="AQ30" s="273"/>
      <c r="AR30" s="273" t="str">
        <f>IF(AND('Mapa final'!$K$43="Alta",'Mapa final'!$O$43="Mayor"),CONCATENATE("R",'Mapa final'!$A$43),"")</f>
        <v/>
      </c>
      <c r="AS30" s="273"/>
      <c r="AT30" s="273" t="e">
        <f>IF(AND('Mapa final'!#REF!="Alta",'Mapa final'!#REF!="Mayor"),CONCATENATE("R",'Mapa final'!#REF!),"")</f>
        <v>#REF!</v>
      </c>
      <c r="AU30" s="273"/>
      <c r="AV30" s="273" t="str">
        <f>IF(AND('Mapa final'!$K$46="Alta",'Mapa final'!$O$46="Mayor"),CONCATENATE("R",'Mapa final'!$A$46),"")</f>
        <v/>
      </c>
      <c r="AW30" s="273"/>
      <c r="AX30" s="285" t="str">
        <f>IF(AND('Mapa final'!$K$37="Alta",'Mapa final'!$O$37="Catastrófico"),CONCATENATE("R",'Mapa final'!$A$37),"")</f>
        <v/>
      </c>
      <c r="AY30" s="267"/>
      <c r="AZ30" s="267" t="str">
        <f>IF(AND('Mapa final'!$K$40="Alta",'Mapa final'!$O$40="Catastrófico"),CONCATENATE("R",'Mapa final'!$A$40),"")</f>
        <v/>
      </c>
      <c r="BA30" s="267"/>
      <c r="BB30" s="267" t="str">
        <f>IF(AND('Mapa final'!$K$43="Alta",'Mapa final'!$O$43="Catastrófico"),CONCATENATE("R",'Mapa final'!$A$43),"")</f>
        <v/>
      </c>
      <c r="BC30" s="267"/>
      <c r="BD30" s="267" t="e">
        <f>IF(AND('Mapa final'!#REF!="Alta",'Mapa final'!#REF!="Catastrófico"),CONCATENATE("R",'Mapa final'!#REF!),"")</f>
        <v>#REF!</v>
      </c>
      <c r="BE30" s="267"/>
      <c r="BF30" s="267" t="str">
        <f>IF(AND('Mapa final'!$K$46="Alta",'Mapa final'!$O$46="Catastrófico"),CONCATENATE("R",'Mapa final'!$A$46),"")</f>
        <v/>
      </c>
      <c r="BG30" s="286"/>
      <c r="BH30" s="58"/>
      <c r="BI30" s="296"/>
      <c r="BJ30" s="297"/>
      <c r="BK30" s="297"/>
      <c r="BL30" s="297"/>
      <c r="BM30" s="297"/>
      <c r="BN30" s="29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row>
    <row r="31" spans="1:100" ht="15" customHeight="1" x14ac:dyDescent="0.25">
      <c r="A31" s="58"/>
      <c r="B31" s="356"/>
      <c r="C31" s="356"/>
      <c r="D31" s="357"/>
      <c r="E31" s="331"/>
      <c r="F31" s="332"/>
      <c r="G31" s="332"/>
      <c r="H31" s="332"/>
      <c r="I31" s="333"/>
      <c r="J31" s="272"/>
      <c r="K31" s="270"/>
      <c r="L31" s="270"/>
      <c r="M31" s="270"/>
      <c r="N31" s="270"/>
      <c r="O31" s="270"/>
      <c r="P31" s="270"/>
      <c r="Q31" s="270"/>
      <c r="R31" s="270"/>
      <c r="S31" s="271"/>
      <c r="T31" s="272"/>
      <c r="U31" s="270"/>
      <c r="V31" s="270"/>
      <c r="W31" s="270"/>
      <c r="X31" s="270"/>
      <c r="Y31" s="270"/>
      <c r="Z31" s="270"/>
      <c r="AA31" s="270"/>
      <c r="AB31" s="270"/>
      <c r="AC31" s="271"/>
      <c r="AD31" s="275"/>
      <c r="AE31" s="273"/>
      <c r="AF31" s="273"/>
      <c r="AG31" s="273"/>
      <c r="AH31" s="273"/>
      <c r="AI31" s="273"/>
      <c r="AJ31" s="273"/>
      <c r="AK31" s="273"/>
      <c r="AL31" s="273"/>
      <c r="AM31" s="273"/>
      <c r="AN31" s="275"/>
      <c r="AO31" s="273"/>
      <c r="AP31" s="273"/>
      <c r="AQ31" s="273"/>
      <c r="AR31" s="273"/>
      <c r="AS31" s="273"/>
      <c r="AT31" s="273"/>
      <c r="AU31" s="273"/>
      <c r="AV31" s="273"/>
      <c r="AW31" s="273"/>
      <c r="AX31" s="285"/>
      <c r="AY31" s="267"/>
      <c r="AZ31" s="267"/>
      <c r="BA31" s="267"/>
      <c r="BB31" s="267"/>
      <c r="BC31" s="267"/>
      <c r="BD31" s="267"/>
      <c r="BE31" s="267"/>
      <c r="BF31" s="267"/>
      <c r="BG31" s="286"/>
      <c r="BH31" s="58"/>
      <c r="BI31" s="296"/>
      <c r="BJ31" s="297"/>
      <c r="BK31" s="297"/>
      <c r="BL31" s="297"/>
      <c r="BM31" s="297"/>
      <c r="BN31" s="29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row>
    <row r="32" spans="1:100" ht="15" customHeight="1" x14ac:dyDescent="0.25">
      <c r="A32" s="58"/>
      <c r="B32" s="356"/>
      <c r="C32" s="356"/>
      <c r="D32" s="357"/>
      <c r="E32" s="331"/>
      <c r="F32" s="332"/>
      <c r="G32" s="332"/>
      <c r="H32" s="332"/>
      <c r="I32" s="333"/>
      <c r="J32" s="272" t="str">
        <f>IF(AND('Mapa final'!$K$49="Alta",'Mapa final'!$O$49="Leve"),CONCATENATE("R",'Mapa final'!$A$49),"")</f>
        <v/>
      </c>
      <c r="K32" s="270"/>
      <c r="L32" s="270" t="str">
        <f>IF(AND('Mapa final'!$K$52="Alta",'Mapa final'!$O$52="Leve"),CONCATENATE("R",'Mapa final'!$A$52),"")</f>
        <v/>
      </c>
      <c r="M32" s="270"/>
      <c r="N32" s="270" t="str">
        <f>IF(AND('Mapa final'!$K$55="Alta",'Mapa final'!$O$55="Leve"),CONCATENATE("R",'Mapa final'!$A$55),"")</f>
        <v/>
      </c>
      <c r="O32" s="270"/>
      <c r="P32" s="270" t="str">
        <f>IF(AND('Mapa final'!$K$58="Alta",'Mapa final'!$O$58="Leve"),CONCATENATE("R",'Mapa final'!$A$58),"")</f>
        <v/>
      </c>
      <c r="Q32" s="270"/>
      <c r="R32" s="270" t="str">
        <f>IF(AND('Mapa final'!$K$61="Alta",'Mapa final'!$O$61="Leve"),CONCATENATE("R",'Mapa final'!$A$61),"")</f>
        <v/>
      </c>
      <c r="S32" s="271"/>
      <c r="T32" s="272" t="str">
        <f>IF(AND('Mapa final'!$K$49="Alta",'Mapa final'!$O$49="Menor"),CONCATENATE("R",'Mapa final'!$A$49),"")</f>
        <v/>
      </c>
      <c r="U32" s="270"/>
      <c r="V32" s="270" t="str">
        <f>IF(AND('Mapa final'!$K$52="Alta",'Mapa final'!$O$52="Menor"),CONCATENATE("R",'Mapa final'!$A$52),"")</f>
        <v/>
      </c>
      <c r="W32" s="270"/>
      <c r="X32" s="270" t="str">
        <f>IF(AND('Mapa final'!$K$55="Alta",'Mapa final'!$O$55="Menor"),CONCATENATE("R",'Mapa final'!$A$55),"")</f>
        <v/>
      </c>
      <c r="Y32" s="270"/>
      <c r="Z32" s="270" t="str">
        <f>IF(AND('Mapa final'!$K$58="Alta",'Mapa final'!$O$58="Menor"),CONCATENATE("R",'Mapa final'!$A$58),"")</f>
        <v/>
      </c>
      <c r="AA32" s="270"/>
      <c r="AB32" s="270" t="str">
        <f>IF(AND('Mapa final'!$K$61="Alta",'Mapa final'!$O$61="Menor"),CONCATENATE("R",'Mapa final'!$A$61),"")</f>
        <v/>
      </c>
      <c r="AC32" s="271"/>
      <c r="AD32" s="275" t="str">
        <f>IF(AND('Mapa final'!$K$49="Alta",'Mapa final'!$O$49="Moderado"),CONCATENATE("R",'Mapa final'!$A$49),"")</f>
        <v>R15</v>
      </c>
      <c r="AE32" s="273"/>
      <c r="AF32" s="273" t="str">
        <f>IF(AND('Mapa final'!$K$52="Alta",'Mapa final'!$O$52="Moderado"),CONCATENATE("R",'Mapa final'!$A$52),"")</f>
        <v/>
      </c>
      <c r="AG32" s="273"/>
      <c r="AH32" s="273" t="str">
        <f>IF(AND('Mapa final'!$K$55="Alta",'Mapa final'!$O$55="Moderado"),CONCATENATE("R",'Mapa final'!$A$55),"")</f>
        <v/>
      </c>
      <c r="AI32" s="273"/>
      <c r="AJ32" s="273" t="str">
        <f>IF(AND('Mapa final'!$K$58="Alta",'Mapa final'!$O$58="Moderado"),CONCATENATE("R",'Mapa final'!$A$58),"")</f>
        <v/>
      </c>
      <c r="AK32" s="273"/>
      <c r="AL32" s="273" t="str">
        <f>IF(AND('Mapa final'!$K$61="Alta",'Mapa final'!$O$61="Moderado"),CONCATENATE("R",'Mapa final'!$A$61),"")</f>
        <v/>
      </c>
      <c r="AM32" s="273"/>
      <c r="AN32" s="275" t="str">
        <f>IF(AND('Mapa final'!$K$49="Alta",'Mapa final'!$O$49="Mayor"),CONCATENATE("R",'Mapa final'!$A$49),"")</f>
        <v/>
      </c>
      <c r="AO32" s="273"/>
      <c r="AP32" s="273" t="str">
        <f>IF(AND('Mapa final'!$K$52="Alta",'Mapa final'!$O$52="Mayor"),CONCATENATE("R",'Mapa final'!$A$52),"")</f>
        <v/>
      </c>
      <c r="AQ32" s="273"/>
      <c r="AR32" s="273" t="str">
        <f>IF(AND('Mapa final'!$K$55="Alta",'Mapa final'!$O$55="Mayor"),CONCATENATE("R",'Mapa final'!$A$55),"")</f>
        <v/>
      </c>
      <c r="AS32" s="273"/>
      <c r="AT32" s="273" t="str">
        <f>IF(AND('Mapa final'!$K$58="Alta",'Mapa final'!$O$58="Mayor"),CONCATENATE("R",'Mapa final'!$A$58),"")</f>
        <v/>
      </c>
      <c r="AU32" s="273"/>
      <c r="AV32" s="273" t="str">
        <f>IF(AND('Mapa final'!$K$61="Alta",'Mapa final'!$O$61="Mayor"),CONCATENATE("R",'Mapa final'!$A$61),"")</f>
        <v/>
      </c>
      <c r="AW32" s="273"/>
      <c r="AX32" s="285" t="str">
        <f>IF(AND('Mapa final'!$K$49="Alta",'Mapa final'!$O$49="Catastrófico"),CONCATENATE("R",'Mapa final'!$A$49),"")</f>
        <v/>
      </c>
      <c r="AY32" s="267"/>
      <c r="AZ32" s="267" t="str">
        <f>IF(AND('Mapa final'!$K$52="Alta",'Mapa final'!$O$52="Catastrófico"),CONCATENATE("R",'Mapa final'!$A$52),"")</f>
        <v/>
      </c>
      <c r="BA32" s="267"/>
      <c r="BB32" s="267" t="str">
        <f>IF(AND('Mapa final'!$K$55="Alta",'Mapa final'!$O$55="Catastrófico"),CONCATENATE("R",'Mapa final'!$A$55),"")</f>
        <v/>
      </c>
      <c r="BC32" s="267"/>
      <c r="BD32" s="267" t="str">
        <f>IF(AND('Mapa final'!$K$58="Alta",'Mapa final'!$O$58="Catastrófico"),CONCATENATE("R",'Mapa final'!$A$58),"")</f>
        <v/>
      </c>
      <c r="BE32" s="267"/>
      <c r="BF32" s="267" t="str">
        <f>IF(AND('Mapa final'!$K$61="Alta",'Mapa final'!$O$61="Catastrófico"),CONCATENATE("R",'Mapa final'!$A$61),"")</f>
        <v/>
      </c>
      <c r="BG32" s="286"/>
      <c r="BH32" s="58"/>
      <c r="BI32" s="296"/>
      <c r="BJ32" s="297"/>
      <c r="BK32" s="297"/>
      <c r="BL32" s="297"/>
      <c r="BM32" s="297"/>
      <c r="BN32" s="29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row>
    <row r="33" spans="1:100" ht="15" customHeight="1" thickBot="1" x14ac:dyDescent="0.3">
      <c r="A33" s="58"/>
      <c r="B33" s="356"/>
      <c r="C33" s="356"/>
      <c r="D33" s="357"/>
      <c r="E33" s="331"/>
      <c r="F33" s="332"/>
      <c r="G33" s="332"/>
      <c r="H33" s="332"/>
      <c r="I33" s="333"/>
      <c r="J33" s="272"/>
      <c r="K33" s="270"/>
      <c r="L33" s="270"/>
      <c r="M33" s="270"/>
      <c r="N33" s="270"/>
      <c r="O33" s="270"/>
      <c r="P33" s="270"/>
      <c r="Q33" s="270"/>
      <c r="R33" s="270"/>
      <c r="S33" s="271"/>
      <c r="T33" s="272"/>
      <c r="U33" s="270"/>
      <c r="V33" s="270"/>
      <c r="W33" s="270"/>
      <c r="X33" s="270"/>
      <c r="Y33" s="270"/>
      <c r="Z33" s="270"/>
      <c r="AA33" s="270"/>
      <c r="AB33" s="270"/>
      <c r="AC33" s="271"/>
      <c r="AD33" s="275"/>
      <c r="AE33" s="273"/>
      <c r="AF33" s="273"/>
      <c r="AG33" s="273"/>
      <c r="AH33" s="273"/>
      <c r="AI33" s="273"/>
      <c r="AJ33" s="273"/>
      <c r="AK33" s="273"/>
      <c r="AL33" s="273"/>
      <c r="AM33" s="273"/>
      <c r="AN33" s="275"/>
      <c r="AO33" s="273"/>
      <c r="AP33" s="273"/>
      <c r="AQ33" s="273"/>
      <c r="AR33" s="273"/>
      <c r="AS33" s="273"/>
      <c r="AT33" s="273"/>
      <c r="AU33" s="273"/>
      <c r="AV33" s="273"/>
      <c r="AW33" s="273"/>
      <c r="AX33" s="285"/>
      <c r="AY33" s="267"/>
      <c r="AZ33" s="267"/>
      <c r="BA33" s="267"/>
      <c r="BB33" s="267"/>
      <c r="BC33" s="267"/>
      <c r="BD33" s="267"/>
      <c r="BE33" s="267"/>
      <c r="BF33" s="267"/>
      <c r="BG33" s="286"/>
      <c r="BH33" s="58"/>
      <c r="BI33" s="299"/>
      <c r="BJ33" s="300"/>
      <c r="BK33" s="300"/>
      <c r="BL33" s="300"/>
      <c r="BM33" s="300"/>
      <c r="BN33" s="301"/>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row>
    <row r="34" spans="1:100" ht="15" customHeight="1" x14ac:dyDescent="0.25">
      <c r="A34" s="58"/>
      <c r="B34" s="356"/>
      <c r="C34" s="356"/>
      <c r="D34" s="357"/>
      <c r="E34" s="331"/>
      <c r="F34" s="332"/>
      <c r="G34" s="332"/>
      <c r="H34" s="332"/>
      <c r="I34" s="333"/>
      <c r="J34" s="272" t="str">
        <f>IF(AND('Mapa final'!$K$64="Alta",'Mapa final'!$O$64="Leve"),CONCATENATE("R",'Mapa final'!$A$64),"")</f>
        <v/>
      </c>
      <c r="K34" s="270"/>
      <c r="L34" s="270" t="str">
        <f>IF(AND('Mapa final'!$K$67="Alta",'Mapa final'!$O$67="Leve"),CONCATENATE("R",'Mapa final'!$A$67),"")</f>
        <v/>
      </c>
      <c r="M34" s="270"/>
      <c r="N34" s="270" t="str">
        <f>IF(AND('Mapa final'!$K$70="Alta",'Mapa final'!$O$70="Leve"),CONCATENATE("R",'Mapa final'!$A$70),"")</f>
        <v/>
      </c>
      <c r="O34" s="270"/>
      <c r="P34" s="270" t="str">
        <f>IF(AND('Mapa final'!$K$73="Alta",'Mapa final'!$O$73="Leve"),CONCATENATE("R",'Mapa final'!$A$73),"")</f>
        <v/>
      </c>
      <c r="Q34" s="270"/>
      <c r="R34" s="270" t="str">
        <f>IF(AND('Mapa final'!$K$76="Alta",'Mapa final'!$O$76="Leve"),CONCATENATE("R",'Mapa final'!$A$76),"")</f>
        <v/>
      </c>
      <c r="S34" s="271"/>
      <c r="T34" s="272" t="str">
        <f>IF(AND('Mapa final'!$K$64="Alta",'Mapa final'!$O$64="Menor"),CONCATENATE("R",'Mapa final'!$A$64),"")</f>
        <v/>
      </c>
      <c r="U34" s="270"/>
      <c r="V34" s="270" t="str">
        <f>IF(AND('Mapa final'!$K$67="Alta",'Mapa final'!$O$67="Menor"),CONCATENATE("R",'Mapa final'!$A$67),"")</f>
        <v/>
      </c>
      <c r="W34" s="270"/>
      <c r="X34" s="270" t="str">
        <f>IF(AND('Mapa final'!$K$70="Alta",'Mapa final'!$O$70="Menor"),CONCATENATE("R",'Mapa final'!$A$70),"")</f>
        <v/>
      </c>
      <c r="Y34" s="270"/>
      <c r="Z34" s="270" t="str">
        <f>IF(AND('Mapa final'!$K$73="Alta",'Mapa final'!$O$73="Menor"),CONCATENATE("R",'Mapa final'!$A$73),"")</f>
        <v/>
      </c>
      <c r="AA34" s="270"/>
      <c r="AB34" s="270" t="str">
        <f>IF(AND('Mapa final'!$K$76="Alta",'Mapa final'!$O$76="Menor"),CONCATENATE("R",'Mapa final'!$A$76),"")</f>
        <v/>
      </c>
      <c r="AC34" s="271"/>
      <c r="AD34" s="275" t="str">
        <f>IF(AND('Mapa final'!$K$64="Alta",'Mapa final'!$O$64="Moderado"),CONCATENATE("R",'Mapa final'!$A$64),"")</f>
        <v/>
      </c>
      <c r="AE34" s="273"/>
      <c r="AF34" s="273" t="str">
        <f>IF(AND('Mapa final'!$K$67="Alta",'Mapa final'!$O$67="Moderado"),CONCATENATE("R",'Mapa final'!$A$67),"")</f>
        <v/>
      </c>
      <c r="AG34" s="273"/>
      <c r="AH34" s="273" t="str">
        <f>IF(AND('Mapa final'!$K$70="Alta",'Mapa final'!$O$70="Moderado"),CONCATENATE("R",'Mapa final'!$A$70),"")</f>
        <v/>
      </c>
      <c r="AI34" s="273"/>
      <c r="AJ34" s="273" t="str">
        <f>IF(AND('Mapa final'!$K$73="Alta",'Mapa final'!$O$73="Moderado"),CONCATENATE("R",'Mapa final'!$A$73),"")</f>
        <v/>
      </c>
      <c r="AK34" s="273"/>
      <c r="AL34" s="273" t="str">
        <f>IF(AND('Mapa final'!$K$76="Alta",'Mapa final'!$O$76="Moderado"),CONCATENATE("R",'Mapa final'!$A$76),"")</f>
        <v/>
      </c>
      <c r="AM34" s="273"/>
      <c r="AN34" s="275" t="str">
        <f>IF(AND('Mapa final'!$K$64="Alta",'Mapa final'!$O$64="Mayor"),CONCATENATE("R",'Mapa final'!$A$64),"")</f>
        <v/>
      </c>
      <c r="AO34" s="273"/>
      <c r="AP34" s="273" t="str">
        <f>IF(AND('Mapa final'!$K$67="Alta",'Mapa final'!$O$67="Mayor"),CONCATENATE("R",'Mapa final'!$A$67),"")</f>
        <v/>
      </c>
      <c r="AQ34" s="273"/>
      <c r="AR34" s="273" t="str">
        <f>IF(AND('Mapa final'!$K$70="Alta",'Mapa final'!$O$70="Mayor"),CONCATENATE("R",'Mapa final'!$A$70),"")</f>
        <v/>
      </c>
      <c r="AS34" s="273"/>
      <c r="AT34" s="273" t="str">
        <f>IF(AND('Mapa final'!$K$73="Alta",'Mapa final'!$O$73="Mayor"),CONCATENATE("R",'Mapa final'!$A$73),"")</f>
        <v/>
      </c>
      <c r="AU34" s="273"/>
      <c r="AV34" s="273" t="str">
        <f>IF(AND('Mapa final'!$K$76="Alta",'Mapa final'!$O$76="Mayor"),CONCATENATE("R",'Mapa final'!$A$76),"")</f>
        <v/>
      </c>
      <c r="AW34" s="273"/>
      <c r="AX34" s="285" t="str">
        <f>IF(AND('Mapa final'!$K$64="Alta",'Mapa final'!$O$64="Catastrófico"),CONCATENATE("R",'Mapa final'!$A$64),"")</f>
        <v/>
      </c>
      <c r="AY34" s="267"/>
      <c r="AZ34" s="267" t="str">
        <f>IF(AND('Mapa final'!$K$67="Alta",'Mapa final'!$O$67="Catastrófico"),CONCATENATE("R",'Mapa final'!$A$67),"")</f>
        <v/>
      </c>
      <c r="BA34" s="267"/>
      <c r="BB34" s="267" t="str">
        <f>IF(AND('Mapa final'!$K$70="Alta",'Mapa final'!$O$70="Catastrófico"),CONCATENATE("R",'Mapa final'!$A$70),"")</f>
        <v/>
      </c>
      <c r="BC34" s="267"/>
      <c r="BD34" s="267" t="str">
        <f>IF(AND('Mapa final'!$K$73="Alta",'Mapa final'!$O$73="Catastrófico"),CONCATENATE("R",'Mapa final'!$A$73),"")</f>
        <v/>
      </c>
      <c r="BE34" s="267"/>
      <c r="BF34" s="267" t="str">
        <f>IF(AND('Mapa final'!$K$76="Alta",'Mapa final'!$O$76="Catastrófico"),CONCATENATE("R",'Mapa final'!$A$76),"")</f>
        <v/>
      </c>
      <c r="BG34" s="286"/>
      <c r="BH34" s="58"/>
      <c r="BI34" s="302" t="s">
        <v>74</v>
      </c>
      <c r="BJ34" s="303"/>
      <c r="BK34" s="303"/>
      <c r="BL34" s="303"/>
      <c r="BM34" s="303"/>
      <c r="BN34" s="304"/>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row>
    <row r="35" spans="1:100" ht="15" customHeight="1" x14ac:dyDescent="0.25">
      <c r="A35" s="58"/>
      <c r="B35" s="356"/>
      <c r="C35" s="356"/>
      <c r="D35" s="357"/>
      <c r="E35" s="331"/>
      <c r="F35" s="332"/>
      <c r="G35" s="332"/>
      <c r="H35" s="332"/>
      <c r="I35" s="333"/>
      <c r="J35" s="272"/>
      <c r="K35" s="270"/>
      <c r="L35" s="270"/>
      <c r="M35" s="270"/>
      <c r="N35" s="270"/>
      <c r="O35" s="270"/>
      <c r="P35" s="270"/>
      <c r="Q35" s="270"/>
      <c r="R35" s="270"/>
      <c r="S35" s="271"/>
      <c r="T35" s="272"/>
      <c r="U35" s="270"/>
      <c r="V35" s="270"/>
      <c r="W35" s="270"/>
      <c r="X35" s="270"/>
      <c r="Y35" s="270"/>
      <c r="Z35" s="270"/>
      <c r="AA35" s="270"/>
      <c r="AB35" s="270"/>
      <c r="AC35" s="271"/>
      <c r="AD35" s="275"/>
      <c r="AE35" s="273"/>
      <c r="AF35" s="273"/>
      <c r="AG35" s="273"/>
      <c r="AH35" s="273"/>
      <c r="AI35" s="273"/>
      <c r="AJ35" s="273"/>
      <c r="AK35" s="273"/>
      <c r="AL35" s="273"/>
      <c r="AM35" s="273"/>
      <c r="AN35" s="275"/>
      <c r="AO35" s="273"/>
      <c r="AP35" s="273"/>
      <c r="AQ35" s="273"/>
      <c r="AR35" s="273"/>
      <c r="AS35" s="273"/>
      <c r="AT35" s="273"/>
      <c r="AU35" s="273"/>
      <c r="AV35" s="273"/>
      <c r="AW35" s="273"/>
      <c r="AX35" s="285"/>
      <c r="AY35" s="267"/>
      <c r="AZ35" s="267"/>
      <c r="BA35" s="267"/>
      <c r="BB35" s="267"/>
      <c r="BC35" s="267"/>
      <c r="BD35" s="267"/>
      <c r="BE35" s="267"/>
      <c r="BF35" s="267"/>
      <c r="BG35" s="286"/>
      <c r="BH35" s="58"/>
      <c r="BI35" s="305"/>
      <c r="BJ35" s="306"/>
      <c r="BK35" s="306"/>
      <c r="BL35" s="306"/>
      <c r="BM35" s="306"/>
      <c r="BN35" s="307"/>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row>
    <row r="36" spans="1:100" ht="15" customHeight="1" x14ac:dyDescent="0.25">
      <c r="A36" s="58"/>
      <c r="B36" s="356"/>
      <c r="C36" s="356"/>
      <c r="D36" s="357"/>
      <c r="E36" s="331"/>
      <c r="F36" s="332"/>
      <c r="G36" s="332"/>
      <c r="H36" s="332"/>
      <c r="I36" s="333"/>
      <c r="J36" s="272" t="str">
        <f>IF(AND('Mapa final'!$K$79="Alta",'Mapa final'!$O$79="Leve"),CONCATENATE("R",'Mapa final'!$A$79),"")</f>
        <v/>
      </c>
      <c r="K36" s="270"/>
      <c r="L36" s="270" t="str">
        <f>IF(AND('Mapa final'!$K$82="Alta",'Mapa final'!$O$82="Leve"),CONCATENATE("R",'Mapa final'!$A$82),"")</f>
        <v/>
      </c>
      <c r="M36" s="270"/>
      <c r="N36" s="270" t="str">
        <f>IF(AND('Mapa final'!$K$85="Alta",'Mapa final'!$O$85="Leve"),CONCATENATE("R",'Mapa final'!$A$85),"")</f>
        <v/>
      </c>
      <c r="O36" s="270"/>
      <c r="P36" s="270" t="str">
        <f>IF(AND('Mapa final'!$K$88="Alta",'Mapa final'!$O$88="Leve"),CONCATENATE("R",'Mapa final'!$A$88),"")</f>
        <v/>
      </c>
      <c r="Q36" s="270"/>
      <c r="R36" s="270" t="str">
        <f>IF(AND('Mapa final'!$K$91="Alta",'Mapa final'!$O$91="Leve"),CONCATENATE("R",'Mapa final'!$A$91),"")</f>
        <v/>
      </c>
      <c r="S36" s="271"/>
      <c r="T36" s="272" t="str">
        <f>IF(AND('Mapa final'!$K$79="Alta",'Mapa final'!$O$79="Menor"),CONCATENATE("R",'Mapa final'!$A$79),"")</f>
        <v/>
      </c>
      <c r="U36" s="270"/>
      <c r="V36" s="270" t="str">
        <f>IF(AND('Mapa final'!$K$82="Alta",'Mapa final'!$O$82="Menor"),CONCATENATE("R",'Mapa final'!$A$82),"")</f>
        <v/>
      </c>
      <c r="W36" s="270"/>
      <c r="X36" s="270" t="str">
        <f>IF(AND('Mapa final'!$K$85="Alta",'Mapa final'!$O$85="Menor"),CONCATENATE("R",'Mapa final'!$A$85),"")</f>
        <v/>
      </c>
      <c r="Y36" s="270"/>
      <c r="Z36" s="270" t="str">
        <f>IF(AND('Mapa final'!$K$88="Alta",'Mapa final'!$O$88="Menor"),CONCATENATE("R",'Mapa final'!$A$88),"")</f>
        <v/>
      </c>
      <c r="AA36" s="270"/>
      <c r="AB36" s="270" t="str">
        <f>IF(AND('Mapa final'!$K$91="Alta",'Mapa final'!$O$91="Menor"),CONCATENATE("R",'Mapa final'!$A$91),"")</f>
        <v/>
      </c>
      <c r="AC36" s="271"/>
      <c r="AD36" s="275" t="str">
        <f>IF(AND('Mapa final'!$K$79="Alta",'Mapa final'!$O$79="Moderado"),CONCATENATE("R",'Mapa final'!$A$79),"")</f>
        <v/>
      </c>
      <c r="AE36" s="273"/>
      <c r="AF36" s="273" t="str">
        <f>IF(AND('Mapa final'!$K$82="Alta",'Mapa final'!$O$82="Moderado"),CONCATENATE("R",'Mapa final'!$A$82),"")</f>
        <v/>
      </c>
      <c r="AG36" s="273"/>
      <c r="AH36" s="273" t="str">
        <f>IF(AND('Mapa final'!$K$85="Alta",'Mapa final'!$O$85="Moderado"),CONCATENATE("R",'Mapa final'!$A$85),"")</f>
        <v/>
      </c>
      <c r="AI36" s="273"/>
      <c r="AJ36" s="273" t="str">
        <f>IF(AND('Mapa final'!$K$88="Alta",'Mapa final'!$O$88="Moderado"),CONCATENATE("R",'Mapa final'!$A$88),"")</f>
        <v/>
      </c>
      <c r="AK36" s="273"/>
      <c r="AL36" s="273" t="str">
        <f>IF(AND('Mapa final'!$K$91="Alta",'Mapa final'!$O$91="Moderado"),CONCATENATE("R",'Mapa final'!$A$91),"")</f>
        <v/>
      </c>
      <c r="AM36" s="273"/>
      <c r="AN36" s="275" t="str">
        <f>IF(AND('Mapa final'!$K$79="Alta",'Mapa final'!$O$79="Mayor"),CONCATENATE("R",'Mapa final'!$A$79),"")</f>
        <v/>
      </c>
      <c r="AO36" s="273"/>
      <c r="AP36" s="273" t="str">
        <f>IF(AND('Mapa final'!$K$82="Alta",'Mapa final'!$O$82="Mayor"),CONCATENATE("R",'Mapa final'!$A$82),"")</f>
        <v/>
      </c>
      <c r="AQ36" s="273"/>
      <c r="AR36" s="273" t="str">
        <f>IF(AND('Mapa final'!$K$85="Alta",'Mapa final'!$O$85="Mayor"),CONCATENATE("R",'Mapa final'!$A$85),"")</f>
        <v/>
      </c>
      <c r="AS36" s="273"/>
      <c r="AT36" s="273" t="str">
        <f>IF(AND('Mapa final'!$K$88="Alta",'Mapa final'!$O$88="Mayor"),CONCATENATE("R",'Mapa final'!$A$88),"")</f>
        <v/>
      </c>
      <c r="AU36" s="273"/>
      <c r="AV36" s="273" t="str">
        <f>IF(AND('Mapa final'!$K$91="Alta",'Mapa final'!$O$91="Mayor"),CONCATENATE("R",'Mapa final'!$A$91),"")</f>
        <v>R29</v>
      </c>
      <c r="AW36" s="273"/>
      <c r="AX36" s="285" t="str">
        <f>IF(AND('Mapa final'!$K$79="Alta",'Mapa final'!$O$79="Catastrófico"),CONCATENATE("R",'Mapa final'!$A$79),"")</f>
        <v/>
      </c>
      <c r="AY36" s="267"/>
      <c r="AZ36" s="267" t="str">
        <f>IF(AND('Mapa final'!$K$82="Alta",'Mapa final'!$O$82="Catastrófico"),CONCATENATE("R",'Mapa final'!$A$82),"")</f>
        <v/>
      </c>
      <c r="BA36" s="267"/>
      <c r="BB36" s="267" t="str">
        <f>IF(AND('Mapa final'!$K$85="Alta",'Mapa final'!$O$85="Catastrófico"),CONCATENATE("R",'Mapa final'!$A$85),"")</f>
        <v/>
      </c>
      <c r="BC36" s="267"/>
      <c r="BD36" s="267" t="str">
        <f>IF(AND('Mapa final'!$K$88="Alta",'Mapa final'!$O$88="Catastrófico"),CONCATENATE("R",'Mapa final'!$A$88),"")</f>
        <v/>
      </c>
      <c r="BE36" s="267"/>
      <c r="BF36" s="267" t="str">
        <f>IF(AND('Mapa final'!$K$91="Alta",'Mapa final'!$O$91="Catastrófico"),CONCATENATE("R",'Mapa final'!$A$91),"")</f>
        <v/>
      </c>
      <c r="BG36" s="286"/>
      <c r="BH36" s="58"/>
      <c r="BI36" s="305"/>
      <c r="BJ36" s="306"/>
      <c r="BK36" s="306"/>
      <c r="BL36" s="306"/>
      <c r="BM36" s="306"/>
      <c r="BN36" s="307"/>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row>
    <row r="37" spans="1:100" ht="15" customHeight="1" x14ac:dyDescent="0.25">
      <c r="A37" s="58"/>
      <c r="B37" s="356"/>
      <c r="C37" s="356"/>
      <c r="D37" s="357"/>
      <c r="E37" s="331"/>
      <c r="F37" s="332"/>
      <c r="G37" s="332"/>
      <c r="H37" s="332"/>
      <c r="I37" s="333"/>
      <c r="J37" s="272"/>
      <c r="K37" s="270"/>
      <c r="L37" s="270"/>
      <c r="M37" s="270"/>
      <c r="N37" s="270"/>
      <c r="O37" s="270"/>
      <c r="P37" s="270"/>
      <c r="Q37" s="270"/>
      <c r="R37" s="270"/>
      <c r="S37" s="271"/>
      <c r="T37" s="272"/>
      <c r="U37" s="270"/>
      <c r="V37" s="270"/>
      <c r="W37" s="270"/>
      <c r="X37" s="270"/>
      <c r="Y37" s="270"/>
      <c r="Z37" s="270"/>
      <c r="AA37" s="270"/>
      <c r="AB37" s="270"/>
      <c r="AC37" s="271"/>
      <c r="AD37" s="275"/>
      <c r="AE37" s="273"/>
      <c r="AF37" s="273"/>
      <c r="AG37" s="273"/>
      <c r="AH37" s="273"/>
      <c r="AI37" s="273"/>
      <c r="AJ37" s="273"/>
      <c r="AK37" s="273"/>
      <c r="AL37" s="273"/>
      <c r="AM37" s="273"/>
      <c r="AN37" s="275"/>
      <c r="AO37" s="273"/>
      <c r="AP37" s="273"/>
      <c r="AQ37" s="273"/>
      <c r="AR37" s="273"/>
      <c r="AS37" s="273"/>
      <c r="AT37" s="273"/>
      <c r="AU37" s="273"/>
      <c r="AV37" s="273"/>
      <c r="AW37" s="273"/>
      <c r="AX37" s="285"/>
      <c r="AY37" s="267"/>
      <c r="AZ37" s="267"/>
      <c r="BA37" s="267"/>
      <c r="BB37" s="267"/>
      <c r="BC37" s="267"/>
      <c r="BD37" s="267"/>
      <c r="BE37" s="267"/>
      <c r="BF37" s="267"/>
      <c r="BG37" s="286"/>
      <c r="BH37" s="58"/>
      <c r="BI37" s="305"/>
      <c r="BJ37" s="306"/>
      <c r="BK37" s="306"/>
      <c r="BL37" s="306"/>
      <c r="BM37" s="306"/>
      <c r="BN37" s="307"/>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row>
    <row r="38" spans="1:100" ht="15" customHeight="1" x14ac:dyDescent="0.25">
      <c r="A38" s="58"/>
      <c r="B38" s="356"/>
      <c r="C38" s="356"/>
      <c r="D38" s="357"/>
      <c r="E38" s="331"/>
      <c r="F38" s="332"/>
      <c r="G38" s="332"/>
      <c r="H38" s="332"/>
      <c r="I38" s="333"/>
      <c r="J38" s="272" t="str">
        <f>IF(AND('Mapa final'!$K$94="Alta",'Mapa final'!$O$94="Leve"),CONCATENATE("R",'Mapa final'!$A$94),"")</f>
        <v/>
      </c>
      <c r="K38" s="270"/>
      <c r="L38" s="270" t="str">
        <f>IF(AND('Mapa final'!$K$97="Alta",'Mapa final'!$O$97="Leve"),CONCATENATE("R",'Mapa final'!$A$97),"")</f>
        <v/>
      </c>
      <c r="M38" s="270"/>
      <c r="N38" s="270" t="str">
        <f>IF(AND('Mapa final'!$K$100="Alta",'Mapa final'!$O$100="Leve"),CONCATENATE("R",'Mapa final'!$A$100),"")</f>
        <v/>
      </c>
      <c r="O38" s="270"/>
      <c r="P38" s="270" t="str">
        <f>IF(AND('Mapa final'!$K$103="Alta",'Mapa final'!$O$103="Leve"),CONCATENATE("R",'Mapa final'!$A$103),"")</f>
        <v/>
      </c>
      <c r="Q38" s="270"/>
      <c r="R38" s="270" t="str">
        <f>IF(AND('Mapa final'!$K$106="Alta",'Mapa final'!$O$106="Leve"),CONCATENATE("R",'Mapa final'!$A$106),"")</f>
        <v/>
      </c>
      <c r="S38" s="271"/>
      <c r="T38" s="272" t="str">
        <f>IF(AND('Mapa final'!$K$94="Alta",'Mapa final'!$O$94="Menor"),CONCATENATE("R",'Mapa final'!$A$94),"")</f>
        <v/>
      </c>
      <c r="U38" s="270"/>
      <c r="V38" s="270" t="str">
        <f>IF(AND('Mapa final'!$K$97="Alta",'Mapa final'!$O$97="Menor"),CONCATENATE("R",'Mapa final'!$A$97),"")</f>
        <v/>
      </c>
      <c r="W38" s="270"/>
      <c r="X38" s="270" t="str">
        <f>IF(AND('Mapa final'!$K$100="Alta",'Mapa final'!$O$100="Menor"),CONCATENATE("R",'Mapa final'!$A$100),"")</f>
        <v/>
      </c>
      <c r="Y38" s="270"/>
      <c r="Z38" s="270" t="str">
        <f>IF(AND('Mapa final'!$K$103="Alta",'Mapa final'!$O$103="Menor"),CONCATENATE("R",'Mapa final'!$A$103),"")</f>
        <v/>
      </c>
      <c r="AA38" s="270"/>
      <c r="AB38" s="270" t="str">
        <f>IF(AND('Mapa final'!$K$106="Alta",'Mapa final'!$O$106="Menor"),CONCATENATE("R",'Mapa final'!$A$106),"")</f>
        <v/>
      </c>
      <c r="AC38" s="271"/>
      <c r="AD38" s="275" t="str">
        <f>IF(AND('Mapa final'!$K$94="Alta",'Mapa final'!$O$94="Moderado"),CONCATENATE("R",'Mapa final'!$A$94),"")</f>
        <v/>
      </c>
      <c r="AE38" s="273"/>
      <c r="AF38" s="273" t="str">
        <f>IF(AND('Mapa final'!$K$97="Alta",'Mapa final'!$O$97="Moderado"),CONCATENATE("R",'Mapa final'!$A$97),"")</f>
        <v>R31</v>
      </c>
      <c r="AG38" s="273"/>
      <c r="AH38" s="273" t="str">
        <f>IF(AND('Mapa final'!$K$100="Alta",'Mapa final'!$O$100="Moderado"),CONCATENATE("R",'Mapa final'!$A$100),"")</f>
        <v/>
      </c>
      <c r="AI38" s="273"/>
      <c r="AJ38" s="273" t="str">
        <f>IF(AND('Mapa final'!$K$103="Alta",'Mapa final'!$O$103="Moderado"),CONCATENATE("R",'Mapa final'!$A$103),"")</f>
        <v/>
      </c>
      <c r="AK38" s="273"/>
      <c r="AL38" s="273" t="str">
        <f>IF(AND('Mapa final'!$K$106="Alta",'Mapa final'!$O$106="Moderado"),CONCATENATE("R",'Mapa final'!$A$106),"")</f>
        <v/>
      </c>
      <c r="AM38" s="273"/>
      <c r="AN38" s="275" t="str">
        <f>IF(AND('Mapa final'!$K$94="Alta",'Mapa final'!$O$94="Mayor"),CONCATENATE("R",'Mapa final'!$A$94),"")</f>
        <v/>
      </c>
      <c r="AO38" s="273"/>
      <c r="AP38" s="273" t="str">
        <f>IF(AND('Mapa final'!$K$97="Alta",'Mapa final'!$O$97="Mayor"),CONCATENATE("R",'Mapa final'!$A$97),"")</f>
        <v/>
      </c>
      <c r="AQ38" s="273"/>
      <c r="AR38" s="273" t="str">
        <f>IF(AND('Mapa final'!$K$100="Alta",'Mapa final'!$O$100="Mayor"),CONCATENATE("R",'Mapa final'!$A$100),"")</f>
        <v/>
      </c>
      <c r="AS38" s="273"/>
      <c r="AT38" s="273" t="str">
        <f>IF(AND('Mapa final'!$K$103="Alta",'Mapa final'!$O$103="Mayor"),CONCATENATE("R",'Mapa final'!$A$103),"")</f>
        <v/>
      </c>
      <c r="AU38" s="273"/>
      <c r="AV38" s="273" t="str">
        <f>IF(AND('Mapa final'!$K$106="Alta",'Mapa final'!$O$106="Mayor"),CONCATENATE("R",'Mapa final'!$A$106),"")</f>
        <v/>
      </c>
      <c r="AW38" s="273"/>
      <c r="AX38" s="285" t="str">
        <f>IF(AND('Mapa final'!$K$94="Alta",'Mapa final'!$O$94="Catastrófico"),CONCATENATE("R",'Mapa final'!$A$94),"")</f>
        <v/>
      </c>
      <c r="AY38" s="267"/>
      <c r="AZ38" s="267" t="str">
        <f>IF(AND('Mapa final'!$K$97="Alta",'Mapa final'!$O$97="Catastrófico"),CONCATENATE("R",'Mapa final'!$A$97),"")</f>
        <v/>
      </c>
      <c r="BA38" s="267"/>
      <c r="BB38" s="267" t="str">
        <f>IF(AND('Mapa final'!$K$100="Alta",'Mapa final'!$O$100="Catastrófico"),CONCATENATE("R",'Mapa final'!$A$100),"")</f>
        <v/>
      </c>
      <c r="BC38" s="267"/>
      <c r="BD38" s="267" t="str">
        <f>IF(AND('Mapa final'!$K$103="Alta",'Mapa final'!$O$103="Catastrófico"),CONCATENATE("R",'Mapa final'!$A$103),"")</f>
        <v/>
      </c>
      <c r="BE38" s="267"/>
      <c r="BF38" s="267" t="str">
        <f>IF(AND('Mapa final'!$K$106="Alta",'Mapa final'!$O$106="Catastrófico"),CONCATENATE("R",'Mapa final'!$A$106),"")</f>
        <v/>
      </c>
      <c r="BG38" s="286"/>
      <c r="BH38" s="58"/>
      <c r="BI38" s="305"/>
      <c r="BJ38" s="306"/>
      <c r="BK38" s="306"/>
      <c r="BL38" s="306"/>
      <c r="BM38" s="306"/>
      <c r="BN38" s="307"/>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row>
    <row r="39" spans="1:100" ht="15" customHeight="1" x14ac:dyDescent="0.25">
      <c r="A39" s="58"/>
      <c r="B39" s="356"/>
      <c r="C39" s="356"/>
      <c r="D39" s="357"/>
      <c r="E39" s="331"/>
      <c r="F39" s="332"/>
      <c r="G39" s="332"/>
      <c r="H39" s="332"/>
      <c r="I39" s="333"/>
      <c r="J39" s="272"/>
      <c r="K39" s="270"/>
      <c r="L39" s="270"/>
      <c r="M39" s="270"/>
      <c r="N39" s="270"/>
      <c r="O39" s="270"/>
      <c r="P39" s="270"/>
      <c r="Q39" s="270"/>
      <c r="R39" s="270"/>
      <c r="S39" s="271"/>
      <c r="T39" s="272"/>
      <c r="U39" s="270"/>
      <c r="V39" s="270"/>
      <c r="W39" s="270"/>
      <c r="X39" s="270"/>
      <c r="Y39" s="270"/>
      <c r="Z39" s="270"/>
      <c r="AA39" s="270"/>
      <c r="AB39" s="270"/>
      <c r="AC39" s="271"/>
      <c r="AD39" s="275"/>
      <c r="AE39" s="273"/>
      <c r="AF39" s="273"/>
      <c r="AG39" s="273"/>
      <c r="AH39" s="273"/>
      <c r="AI39" s="273"/>
      <c r="AJ39" s="273"/>
      <c r="AK39" s="273"/>
      <c r="AL39" s="273"/>
      <c r="AM39" s="273"/>
      <c r="AN39" s="275"/>
      <c r="AO39" s="273"/>
      <c r="AP39" s="273"/>
      <c r="AQ39" s="273"/>
      <c r="AR39" s="273"/>
      <c r="AS39" s="273"/>
      <c r="AT39" s="273"/>
      <c r="AU39" s="273"/>
      <c r="AV39" s="273"/>
      <c r="AW39" s="273"/>
      <c r="AX39" s="285"/>
      <c r="AY39" s="267"/>
      <c r="AZ39" s="267"/>
      <c r="BA39" s="267"/>
      <c r="BB39" s="267"/>
      <c r="BC39" s="267"/>
      <c r="BD39" s="267"/>
      <c r="BE39" s="267"/>
      <c r="BF39" s="267"/>
      <c r="BG39" s="286"/>
      <c r="BH39" s="58"/>
      <c r="BI39" s="305"/>
      <c r="BJ39" s="306"/>
      <c r="BK39" s="306"/>
      <c r="BL39" s="306"/>
      <c r="BM39" s="306"/>
      <c r="BN39" s="307"/>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row>
    <row r="40" spans="1:100" ht="15" customHeight="1" x14ac:dyDescent="0.25">
      <c r="A40" s="58"/>
      <c r="B40" s="356"/>
      <c r="C40" s="356"/>
      <c r="D40" s="357"/>
      <c r="E40" s="331"/>
      <c r="F40" s="332"/>
      <c r="G40" s="332"/>
      <c r="H40" s="332"/>
      <c r="I40" s="333"/>
      <c r="J40" s="272" t="str">
        <f>IF(AND('Mapa final'!$K$109="Alta",'Mapa final'!$O$109="Leve"),CONCATENATE("R",'Mapa final'!$A$109),"")</f>
        <v/>
      </c>
      <c r="K40" s="270"/>
      <c r="L40" s="270" t="str">
        <f>IF(AND('Mapa final'!$K$112="Alta",'Mapa final'!$O$112="Leve"),CONCATENATE("R",'Mapa final'!$A$112),"")</f>
        <v/>
      </c>
      <c r="M40" s="270"/>
      <c r="N40" s="270" t="str">
        <f>IF(AND('Mapa final'!$K$115="Alta",'Mapa final'!$O$115="Leve"),CONCATENATE("R",'Mapa final'!$A$115),"")</f>
        <v/>
      </c>
      <c r="O40" s="270"/>
      <c r="P40" s="270" t="str">
        <f>IF(AND('Mapa final'!$K$118="Alta",'Mapa final'!$O$118="Leve"),CONCATENATE("R",'Mapa final'!$A$118),"")</f>
        <v/>
      </c>
      <c r="Q40" s="270"/>
      <c r="R40" s="270" t="str">
        <f>IF(AND('Mapa final'!$K$121="Alta",'Mapa final'!$O$121="Leve"),CONCATENATE("R",'Mapa final'!$A$121),"")</f>
        <v/>
      </c>
      <c r="S40" s="271"/>
      <c r="T40" s="272" t="str">
        <f>IF(AND('Mapa final'!$K$109="Alta",'Mapa final'!$O$109="Menor"),CONCATENATE("R",'Mapa final'!$A$109),"")</f>
        <v/>
      </c>
      <c r="U40" s="270"/>
      <c r="V40" s="270" t="str">
        <f>IF(AND('Mapa final'!$K$112="Alta",'Mapa final'!$O$112="Menor"),CONCATENATE("R",'Mapa final'!$A$112),"")</f>
        <v/>
      </c>
      <c r="W40" s="270"/>
      <c r="X40" s="270" t="str">
        <f>IF(AND('Mapa final'!$K$115="Alta",'Mapa final'!$O$115="Menor"),CONCATENATE("R",'Mapa final'!$A$115),"")</f>
        <v>R37</v>
      </c>
      <c r="Y40" s="270"/>
      <c r="Z40" s="270" t="str">
        <f>IF(AND('Mapa final'!$K$118="Alta",'Mapa final'!$O$118="Menor"),CONCATENATE("R",'Mapa final'!$A$118),"")</f>
        <v/>
      </c>
      <c r="AA40" s="270"/>
      <c r="AB40" s="270" t="str">
        <f>IF(AND('Mapa final'!$K$121="Alta",'Mapa final'!$O$121="Menor"),CONCATENATE("R",'Mapa final'!$A$121),"")</f>
        <v/>
      </c>
      <c r="AC40" s="271"/>
      <c r="AD40" s="275" t="str">
        <f>IF(AND('Mapa final'!$K$109="Alta",'Mapa final'!$O$109="Moderado"),CONCATENATE("R",'Mapa final'!$A$109),"")</f>
        <v/>
      </c>
      <c r="AE40" s="273"/>
      <c r="AF40" s="273" t="str">
        <f>IF(AND('Mapa final'!$K$112="Alta",'Mapa final'!$O$112="Moderado"),CONCATENATE("R",'Mapa final'!$A$112),"")</f>
        <v/>
      </c>
      <c r="AG40" s="273"/>
      <c r="AH40" s="273" t="str">
        <f>IF(AND('Mapa final'!$K$115="Alta",'Mapa final'!$O$115="Moderado"),CONCATENATE("R",'Mapa final'!$A$115),"")</f>
        <v/>
      </c>
      <c r="AI40" s="273"/>
      <c r="AJ40" s="273" t="str">
        <f>IF(AND('Mapa final'!$K$118="Alta",'Mapa final'!$O$118="Moderado"),CONCATENATE("R",'Mapa final'!$A$118),"")</f>
        <v/>
      </c>
      <c r="AK40" s="273"/>
      <c r="AL40" s="273" t="str">
        <f>IF(AND('Mapa final'!$K$121="Alta",'Mapa final'!$O$121="Moderado"),CONCATENATE("R",'Mapa final'!$A$121),"")</f>
        <v/>
      </c>
      <c r="AM40" s="273"/>
      <c r="AN40" s="275" t="str">
        <f>IF(AND('Mapa final'!$K$109="Alta",'Mapa final'!$O$109="Mayor"),CONCATENATE("R",'Mapa final'!$A$109),"")</f>
        <v/>
      </c>
      <c r="AO40" s="273"/>
      <c r="AP40" s="273" t="str">
        <f>IF(AND('Mapa final'!$K$112="Alta",'Mapa final'!$O$112="Mayor"),CONCATENATE("R",'Mapa final'!$A$112),"")</f>
        <v/>
      </c>
      <c r="AQ40" s="273"/>
      <c r="AR40" s="273" t="str">
        <f>IF(AND('Mapa final'!$K$115="Alta",'Mapa final'!$O$115="Mayor"),CONCATENATE("R",'Mapa final'!$A$115),"")</f>
        <v/>
      </c>
      <c r="AS40" s="273"/>
      <c r="AT40" s="273" t="str">
        <f>IF(AND('Mapa final'!$K$118="Alta",'Mapa final'!$O$118="Mayor"),CONCATENATE("R",'Mapa final'!$A$118),"")</f>
        <v/>
      </c>
      <c r="AU40" s="273"/>
      <c r="AV40" s="273" t="str">
        <f>IF(AND('Mapa final'!$K$121="Alta",'Mapa final'!$O$121="Mayor"),CONCATENATE("R",'Mapa final'!$A$121),"")</f>
        <v/>
      </c>
      <c r="AW40" s="273"/>
      <c r="AX40" s="285" t="str">
        <f>IF(AND('Mapa final'!$K$109="Alta",'Mapa final'!$O$109="Catastrófico"),CONCATENATE("R",'Mapa final'!$A$109),"")</f>
        <v/>
      </c>
      <c r="AY40" s="267"/>
      <c r="AZ40" s="267" t="str">
        <f>IF(AND('Mapa final'!$K$112="Alta",'Mapa final'!$O$112="Catastrófico"),CONCATENATE("R",'Mapa final'!$A$112),"")</f>
        <v/>
      </c>
      <c r="BA40" s="267"/>
      <c r="BB40" s="267" t="str">
        <f>IF(AND('Mapa final'!$K$115="Alta",'Mapa final'!$O$115="Catastrófico"),CONCATENATE("R",'Mapa final'!$A$115),"")</f>
        <v/>
      </c>
      <c r="BC40" s="267"/>
      <c r="BD40" s="267" t="str">
        <f>IF(AND('Mapa final'!$K$118="Alta",'Mapa final'!$O$118="Catastrófico"),CONCATENATE("R",'Mapa final'!$A$118),"")</f>
        <v/>
      </c>
      <c r="BE40" s="267"/>
      <c r="BF40" s="267" t="str">
        <f>IF(AND('Mapa final'!$K$121="Alta",'Mapa final'!$O$121="Catastrófico"),CONCATENATE("R",'Mapa final'!$A$121),"")</f>
        <v/>
      </c>
      <c r="BG40" s="286"/>
      <c r="BH40" s="58"/>
      <c r="BI40" s="305"/>
      <c r="BJ40" s="306"/>
      <c r="BK40" s="306"/>
      <c r="BL40" s="306"/>
      <c r="BM40" s="306"/>
      <c r="BN40" s="307"/>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row>
    <row r="41" spans="1:100" ht="15" customHeight="1" x14ac:dyDescent="0.25">
      <c r="A41" s="58"/>
      <c r="B41" s="356"/>
      <c r="C41" s="356"/>
      <c r="D41" s="357"/>
      <c r="E41" s="331"/>
      <c r="F41" s="332"/>
      <c r="G41" s="332"/>
      <c r="H41" s="332"/>
      <c r="I41" s="333"/>
      <c r="J41" s="272"/>
      <c r="K41" s="270"/>
      <c r="L41" s="270"/>
      <c r="M41" s="270"/>
      <c r="N41" s="270"/>
      <c r="O41" s="270"/>
      <c r="P41" s="270"/>
      <c r="Q41" s="270"/>
      <c r="R41" s="270"/>
      <c r="S41" s="271"/>
      <c r="T41" s="272"/>
      <c r="U41" s="270"/>
      <c r="V41" s="270"/>
      <c r="W41" s="270"/>
      <c r="X41" s="270"/>
      <c r="Y41" s="270"/>
      <c r="Z41" s="270"/>
      <c r="AA41" s="270"/>
      <c r="AB41" s="270"/>
      <c r="AC41" s="271"/>
      <c r="AD41" s="275"/>
      <c r="AE41" s="273"/>
      <c r="AF41" s="273"/>
      <c r="AG41" s="273"/>
      <c r="AH41" s="273"/>
      <c r="AI41" s="273"/>
      <c r="AJ41" s="273"/>
      <c r="AK41" s="273"/>
      <c r="AL41" s="273"/>
      <c r="AM41" s="273"/>
      <c r="AN41" s="275"/>
      <c r="AO41" s="273"/>
      <c r="AP41" s="273"/>
      <c r="AQ41" s="273"/>
      <c r="AR41" s="273"/>
      <c r="AS41" s="273"/>
      <c r="AT41" s="273"/>
      <c r="AU41" s="273"/>
      <c r="AV41" s="273"/>
      <c r="AW41" s="273"/>
      <c r="AX41" s="285"/>
      <c r="AY41" s="267"/>
      <c r="AZ41" s="267"/>
      <c r="BA41" s="267"/>
      <c r="BB41" s="267"/>
      <c r="BC41" s="267"/>
      <c r="BD41" s="267"/>
      <c r="BE41" s="267"/>
      <c r="BF41" s="267"/>
      <c r="BG41" s="286"/>
      <c r="BH41" s="58"/>
      <c r="BI41" s="305"/>
      <c r="BJ41" s="306"/>
      <c r="BK41" s="306"/>
      <c r="BL41" s="306"/>
      <c r="BM41" s="306"/>
      <c r="BN41" s="307"/>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row>
    <row r="42" spans="1:100" ht="15" customHeight="1" x14ac:dyDescent="0.25">
      <c r="A42" s="58"/>
      <c r="B42" s="356"/>
      <c r="C42" s="356"/>
      <c r="D42" s="357"/>
      <c r="E42" s="331"/>
      <c r="F42" s="332"/>
      <c r="G42" s="332"/>
      <c r="H42" s="332"/>
      <c r="I42" s="333"/>
      <c r="J42" s="272" t="str">
        <f>IF(AND('Mapa final'!$K$124="Alta",'Mapa final'!$O$124="Leve"),CONCATENATE("R",'Mapa final'!$A$124),"")</f>
        <v/>
      </c>
      <c r="K42" s="270"/>
      <c r="L42" s="270" t="str">
        <f>IF(AND('Mapa final'!$K$127="Alta",'Mapa final'!$O$127="Leve"),CONCATENATE("R",'Mapa final'!$A$127),"")</f>
        <v/>
      </c>
      <c r="M42" s="270"/>
      <c r="N42" s="270" t="str">
        <f>IF(AND('Mapa final'!$K$130="Alta",'Mapa final'!$O$130="Leve"),CONCATENATE("R",'Mapa final'!$A$130),"")</f>
        <v/>
      </c>
      <c r="O42" s="270"/>
      <c r="P42" s="270" t="str">
        <f>IF(AND('Mapa final'!$K$133="Alta",'Mapa final'!$O$133="Leve"),CONCATENATE("R",'Mapa final'!$A$133),"")</f>
        <v/>
      </c>
      <c r="Q42" s="270"/>
      <c r="R42" s="270" t="str">
        <f>IF(AND('Mapa final'!$K$136="Alta",'Mapa final'!$O$136="Leve"),CONCATENATE("R",'Mapa final'!$A$136),"")</f>
        <v/>
      </c>
      <c r="S42" s="271"/>
      <c r="T42" s="272" t="str">
        <f>IF(AND('Mapa final'!$K$124="Alta",'Mapa final'!$O$124="Menor"),CONCATENATE("R",'Mapa final'!$A$124),"")</f>
        <v/>
      </c>
      <c r="U42" s="270"/>
      <c r="V42" s="270" t="str">
        <f>IF(AND('Mapa final'!$K$127="Alta",'Mapa final'!$O$127="Menor"),CONCATENATE("R",'Mapa final'!$A$127),"")</f>
        <v/>
      </c>
      <c r="W42" s="270"/>
      <c r="X42" s="270" t="str">
        <f>IF(AND('Mapa final'!$K$130="Alta",'Mapa final'!$O$130="Menor"),CONCATENATE("R",'Mapa final'!$A$130),"")</f>
        <v/>
      </c>
      <c r="Y42" s="270"/>
      <c r="Z42" s="270" t="str">
        <f>IF(AND('Mapa final'!$K$133="Alta",'Mapa final'!$O$133="Menor"),CONCATENATE("R",'Mapa final'!$A$133),"")</f>
        <v/>
      </c>
      <c r="AA42" s="270"/>
      <c r="AB42" s="270" t="str">
        <f>IF(AND('Mapa final'!$K$136="Alta",'Mapa final'!$O$136="Menor"),CONCATENATE("R",'Mapa final'!$A$136),"")</f>
        <v/>
      </c>
      <c r="AC42" s="271"/>
      <c r="AD42" s="275" t="str">
        <f>IF(AND('Mapa final'!$K$124="Alta",'Mapa final'!$O$124="Moderado"),CONCATENATE("R",'Mapa final'!$A$124),"")</f>
        <v/>
      </c>
      <c r="AE42" s="273"/>
      <c r="AF42" s="273" t="str">
        <f>IF(AND('Mapa final'!$K$127="Alta",'Mapa final'!$O$127="Moderado"),CONCATENATE("R",'Mapa final'!$A$127),"")</f>
        <v/>
      </c>
      <c r="AG42" s="273"/>
      <c r="AH42" s="273" t="str">
        <f>IF(AND('Mapa final'!$K$130="Alta",'Mapa final'!$O$130="Moderado"),CONCATENATE("R",'Mapa final'!$A$130),"")</f>
        <v/>
      </c>
      <c r="AI42" s="273"/>
      <c r="AJ42" s="273" t="str">
        <f>IF(AND('Mapa final'!$K$133="Alta",'Mapa final'!$O$133="Moderado"),CONCATENATE("R",'Mapa final'!$A$133),"")</f>
        <v/>
      </c>
      <c r="AK42" s="273"/>
      <c r="AL42" s="273" t="str">
        <f>IF(AND('Mapa final'!$K$136="Alta",'Mapa final'!$O$136="Moderado"),CONCATENATE("R",'Mapa final'!$A$136),"")</f>
        <v/>
      </c>
      <c r="AM42" s="273"/>
      <c r="AN42" s="275" t="str">
        <f>IF(AND('Mapa final'!$K$124="Alta",'Mapa final'!$O$124="Mayor"),CONCATENATE("R",'Mapa final'!$A$124),"")</f>
        <v/>
      </c>
      <c r="AO42" s="273"/>
      <c r="AP42" s="273" t="str">
        <f>IF(AND('Mapa final'!$K$127="Alta",'Mapa final'!$O$127="Mayor"),CONCATENATE("R",'Mapa final'!$A$127),"")</f>
        <v/>
      </c>
      <c r="AQ42" s="273"/>
      <c r="AR42" s="273" t="str">
        <f>IF(AND('Mapa final'!$K$130="Alta",'Mapa final'!$O$130="Mayor"),CONCATENATE("R",'Mapa final'!$A$130),"")</f>
        <v/>
      </c>
      <c r="AS42" s="273"/>
      <c r="AT42" s="273" t="str">
        <f>IF(AND('Mapa final'!$K$133="Alta",'Mapa final'!$O$133="Mayor"),CONCATENATE("R",'Mapa final'!$A$133),"")</f>
        <v/>
      </c>
      <c r="AU42" s="273"/>
      <c r="AV42" s="273" t="str">
        <f>IF(AND('Mapa final'!$K$136="Alta",'Mapa final'!$O$136="Mayor"),CONCATENATE("R",'Mapa final'!$A$136),"")</f>
        <v/>
      </c>
      <c r="AW42" s="273"/>
      <c r="AX42" s="285" t="str">
        <f>IF(AND('Mapa final'!$K$124="Alta",'Mapa final'!$O$124="Catastrófico"),CONCATENATE("R",'Mapa final'!$A$124),"")</f>
        <v/>
      </c>
      <c r="AY42" s="267"/>
      <c r="AZ42" s="267" t="str">
        <f>IF(AND('Mapa final'!$K$127="Alta",'Mapa final'!$O$127="Catastrófico"),CONCATENATE("R",'Mapa final'!$A$127),"")</f>
        <v/>
      </c>
      <c r="BA42" s="267"/>
      <c r="BB42" s="267" t="str">
        <f>IF(AND('Mapa final'!$K$130="Alta",'Mapa final'!$O$130="Catastrófico"),CONCATENATE("R",'Mapa final'!$A$130),"")</f>
        <v/>
      </c>
      <c r="BC42" s="267"/>
      <c r="BD42" s="267" t="str">
        <f>IF(AND('Mapa final'!$K$133="Alta",'Mapa final'!$O$133="Catastrófico"),CONCATENATE("R",'Mapa final'!$A$133),"")</f>
        <v/>
      </c>
      <c r="BE42" s="267"/>
      <c r="BF42" s="267" t="str">
        <f>IF(AND('Mapa final'!$K$136="Alta",'Mapa final'!$O$136="Catastrófico"),CONCATENATE("R",'Mapa final'!$A$136),"")</f>
        <v/>
      </c>
      <c r="BG42" s="286"/>
      <c r="BH42" s="58"/>
      <c r="BI42" s="305"/>
      <c r="BJ42" s="306"/>
      <c r="BK42" s="306"/>
      <c r="BL42" s="306"/>
      <c r="BM42" s="306"/>
      <c r="BN42" s="307"/>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8"/>
      <c r="CM42" s="58"/>
      <c r="CN42" s="58"/>
      <c r="CO42" s="58"/>
      <c r="CP42" s="58"/>
      <c r="CQ42" s="58"/>
      <c r="CR42" s="58"/>
      <c r="CS42" s="58"/>
      <c r="CT42" s="58"/>
      <c r="CU42" s="58"/>
      <c r="CV42" s="58"/>
    </row>
    <row r="43" spans="1:100" ht="15" customHeight="1" x14ac:dyDescent="0.25">
      <c r="A43" s="58"/>
      <c r="B43" s="356"/>
      <c r="C43" s="356"/>
      <c r="D43" s="357"/>
      <c r="E43" s="331"/>
      <c r="F43" s="332"/>
      <c r="G43" s="332"/>
      <c r="H43" s="332"/>
      <c r="I43" s="333"/>
      <c r="J43" s="272"/>
      <c r="K43" s="270"/>
      <c r="L43" s="270"/>
      <c r="M43" s="270"/>
      <c r="N43" s="270"/>
      <c r="O43" s="270"/>
      <c r="P43" s="270"/>
      <c r="Q43" s="270"/>
      <c r="R43" s="270"/>
      <c r="S43" s="271"/>
      <c r="T43" s="272"/>
      <c r="U43" s="270"/>
      <c r="V43" s="270"/>
      <c r="W43" s="270"/>
      <c r="X43" s="270"/>
      <c r="Y43" s="270"/>
      <c r="Z43" s="270"/>
      <c r="AA43" s="270"/>
      <c r="AB43" s="270"/>
      <c r="AC43" s="271"/>
      <c r="AD43" s="275"/>
      <c r="AE43" s="273"/>
      <c r="AF43" s="273"/>
      <c r="AG43" s="273"/>
      <c r="AH43" s="273"/>
      <c r="AI43" s="273"/>
      <c r="AJ43" s="273"/>
      <c r="AK43" s="273"/>
      <c r="AL43" s="273"/>
      <c r="AM43" s="273"/>
      <c r="AN43" s="275"/>
      <c r="AO43" s="273"/>
      <c r="AP43" s="273"/>
      <c r="AQ43" s="273"/>
      <c r="AR43" s="273"/>
      <c r="AS43" s="273"/>
      <c r="AT43" s="273"/>
      <c r="AU43" s="273"/>
      <c r="AV43" s="273"/>
      <c r="AW43" s="273"/>
      <c r="AX43" s="285"/>
      <c r="AY43" s="267"/>
      <c r="AZ43" s="267"/>
      <c r="BA43" s="267"/>
      <c r="BB43" s="267"/>
      <c r="BC43" s="267"/>
      <c r="BD43" s="267"/>
      <c r="BE43" s="267"/>
      <c r="BF43" s="267"/>
      <c r="BG43" s="286"/>
      <c r="BH43" s="58"/>
      <c r="BI43" s="305"/>
      <c r="BJ43" s="306"/>
      <c r="BK43" s="306"/>
      <c r="BL43" s="306"/>
      <c r="BM43" s="306"/>
      <c r="BN43" s="307"/>
      <c r="BO43" s="58"/>
      <c r="BP43" s="58"/>
      <c r="BQ43" s="58"/>
      <c r="BR43" s="58"/>
      <c r="BS43" s="58"/>
      <c r="BT43" s="58"/>
      <c r="BU43" s="58"/>
      <c r="BV43" s="58"/>
      <c r="BW43" s="58"/>
      <c r="BX43" s="58"/>
      <c r="BY43" s="58"/>
      <c r="BZ43" s="58"/>
      <c r="CA43" s="58"/>
      <c r="CB43" s="58"/>
      <c r="CC43" s="58"/>
      <c r="CD43" s="58"/>
      <c r="CE43" s="58"/>
      <c r="CF43" s="58"/>
      <c r="CG43" s="58"/>
      <c r="CH43" s="58"/>
      <c r="CI43" s="58"/>
      <c r="CJ43" s="58"/>
      <c r="CK43" s="58"/>
      <c r="CL43" s="58"/>
      <c r="CM43" s="58"/>
      <c r="CN43" s="58"/>
      <c r="CO43" s="58"/>
      <c r="CP43" s="58"/>
      <c r="CQ43" s="58"/>
      <c r="CR43" s="58"/>
      <c r="CS43" s="58"/>
      <c r="CT43" s="58"/>
      <c r="CU43" s="58"/>
      <c r="CV43" s="58"/>
    </row>
    <row r="44" spans="1:100" ht="15" customHeight="1" x14ac:dyDescent="0.25">
      <c r="A44" s="58"/>
      <c r="B44" s="356"/>
      <c r="C44" s="356"/>
      <c r="D44" s="357"/>
      <c r="E44" s="331"/>
      <c r="F44" s="332"/>
      <c r="G44" s="332"/>
      <c r="H44" s="332"/>
      <c r="I44" s="333"/>
      <c r="J44" s="272" t="str">
        <f>IF(AND('Mapa final'!$K$139="Alta",'Mapa final'!$O$139="Leve"),CONCATENATE("R",'Mapa final'!$A$139),"")</f>
        <v/>
      </c>
      <c r="K44" s="270"/>
      <c r="L44" s="270" t="str">
        <f>IF(AND('Mapa final'!$K$142="Alta",'Mapa final'!$O$142="Leve"),CONCATENATE("R",'Mapa final'!$A$142),"")</f>
        <v/>
      </c>
      <c r="M44" s="270"/>
      <c r="N44" s="270" t="str">
        <f>IF(AND('Mapa final'!$K$145="Alta",'Mapa final'!$O$145="Leve"),CONCATENATE("R",'Mapa final'!$A$145),"")</f>
        <v/>
      </c>
      <c r="O44" s="270"/>
      <c r="P44" s="270" t="str">
        <f>IF(AND('Mapa final'!$K$148="Alta",'Mapa final'!$O$148="Leve"),CONCATENATE("R",'Mapa final'!$A$148),"")</f>
        <v/>
      </c>
      <c r="Q44" s="270"/>
      <c r="R44" s="270" t="str">
        <f>IF(AND('Mapa final'!$K$151="Alta",'Mapa final'!$O$151="Leve"),CONCATENATE("R",'Mapa final'!$A$151),"")</f>
        <v/>
      </c>
      <c r="S44" s="271"/>
      <c r="T44" s="272" t="str">
        <f>IF(AND('Mapa final'!$K$139="Alta",'Mapa final'!$O$139="Menor"),CONCATENATE("R",'Mapa final'!$A$139),"")</f>
        <v/>
      </c>
      <c r="U44" s="270"/>
      <c r="V44" s="270" t="str">
        <f>IF(AND('Mapa final'!$K$142="Alta",'Mapa final'!$O$142="Menor"),CONCATENATE("R",'Mapa final'!$A$142),"")</f>
        <v/>
      </c>
      <c r="W44" s="270"/>
      <c r="X44" s="270" t="str">
        <f>IF(AND('Mapa final'!$K$145="Alta",'Mapa final'!$O$145="Menor"),CONCATENATE("R",'Mapa final'!$A$145),"")</f>
        <v/>
      </c>
      <c r="Y44" s="270"/>
      <c r="Z44" s="270" t="str">
        <f>IF(AND('Mapa final'!$K$148="Alta",'Mapa final'!$O$148="Menor"),CONCATENATE("R",'Mapa final'!$A$148),"")</f>
        <v/>
      </c>
      <c r="AA44" s="270"/>
      <c r="AB44" s="270" t="str">
        <f>IF(AND('Mapa final'!$K$151="Alta",'Mapa final'!$O$151="Menor"),CONCATENATE("R",'Mapa final'!$A$151),"")</f>
        <v/>
      </c>
      <c r="AC44" s="271"/>
      <c r="AD44" s="275" t="str">
        <f>IF(AND('Mapa final'!$K$139="Alta",'Mapa final'!$O$139="Moderado"),CONCATENATE("R",'Mapa final'!$A$139),"")</f>
        <v/>
      </c>
      <c r="AE44" s="273"/>
      <c r="AF44" s="273" t="str">
        <f>IF(AND('Mapa final'!$K$142="Alta",'Mapa final'!$O$142="Moderado"),CONCATENATE("R",'Mapa final'!$A$142),"")</f>
        <v/>
      </c>
      <c r="AG44" s="273"/>
      <c r="AH44" s="273" t="str">
        <f>IF(AND('Mapa final'!$K$145="Alta",'Mapa final'!$O$145="Moderado"),CONCATENATE("R",'Mapa final'!$A$145),"")</f>
        <v/>
      </c>
      <c r="AI44" s="273"/>
      <c r="AJ44" s="273" t="str">
        <f>IF(AND('Mapa final'!$K$148="Alta",'Mapa final'!$O$148="Moderado"),CONCATENATE("R",'Mapa final'!$A$148),"")</f>
        <v/>
      </c>
      <c r="AK44" s="273"/>
      <c r="AL44" s="273" t="str">
        <f>IF(AND('Mapa final'!$K$151="Alta",'Mapa final'!$O$151="Moderado"),CONCATENATE("R",'Mapa final'!$A$151),"")</f>
        <v/>
      </c>
      <c r="AM44" s="273"/>
      <c r="AN44" s="275" t="str">
        <f>IF(AND('Mapa final'!$K$139="Alta",'Mapa final'!$O$139="Mayor"),CONCATENATE("R",'Mapa final'!$A$139),"")</f>
        <v/>
      </c>
      <c r="AO44" s="273"/>
      <c r="AP44" s="273" t="str">
        <f>IF(AND('Mapa final'!$K$142="Alta",'Mapa final'!$O$142="Mayor"),CONCATENATE("R",'Mapa final'!$A$142),"")</f>
        <v/>
      </c>
      <c r="AQ44" s="273"/>
      <c r="AR44" s="273" t="str">
        <f>IF(AND('Mapa final'!$K$145="Alta",'Mapa final'!$O$145="Mayor"),CONCATENATE("R",'Mapa final'!$A$145),"")</f>
        <v/>
      </c>
      <c r="AS44" s="273"/>
      <c r="AT44" s="273" t="str">
        <f>IF(AND('Mapa final'!$K$148="Alta",'Mapa final'!$O$148="Mayor"),CONCATENATE("R",'Mapa final'!$A$148),"")</f>
        <v/>
      </c>
      <c r="AU44" s="273"/>
      <c r="AV44" s="273" t="str">
        <f>IF(AND('Mapa final'!$K$151="Alta",'Mapa final'!$O$151="Mayor"),CONCATENATE("R",'Mapa final'!$A$151),"")</f>
        <v/>
      </c>
      <c r="AW44" s="273"/>
      <c r="AX44" s="285" t="str">
        <f>IF(AND('Mapa final'!$K$139="Alta",'Mapa final'!$O$139="Catastrófico"),CONCATENATE("R",'Mapa final'!$A$139),"")</f>
        <v/>
      </c>
      <c r="AY44" s="267"/>
      <c r="AZ44" s="267" t="str">
        <f>IF(AND('Mapa final'!$K$142="Alta",'Mapa final'!$O$142="Catastrófico"),CONCATENATE("R",'Mapa final'!$A$142),"")</f>
        <v/>
      </c>
      <c r="BA44" s="267"/>
      <c r="BB44" s="267" t="str">
        <f>IF(AND('Mapa final'!$K$145="Alta",'Mapa final'!$O$145="Catastrófico"),CONCATENATE("R",'Mapa final'!$A$145),"")</f>
        <v/>
      </c>
      <c r="BC44" s="267"/>
      <c r="BD44" s="267" t="str">
        <f>IF(AND('Mapa final'!$K$148="Alta",'Mapa final'!$O$148="Catastrófico"),CONCATENATE("R",'Mapa final'!$A$148),"")</f>
        <v/>
      </c>
      <c r="BE44" s="267"/>
      <c r="BF44" s="267" t="str">
        <f>IF(AND('Mapa final'!$K$151="Alta",'Mapa final'!$O$151="Catastrófico"),CONCATENATE("R",'Mapa final'!$A$151),"")</f>
        <v/>
      </c>
      <c r="BG44" s="286"/>
      <c r="BH44" s="58"/>
      <c r="BI44" s="305"/>
      <c r="BJ44" s="306"/>
      <c r="BK44" s="306"/>
      <c r="BL44" s="306"/>
      <c r="BM44" s="306"/>
      <c r="BN44" s="307"/>
      <c r="BO44" s="58"/>
      <c r="BP44" s="58"/>
      <c r="BQ44" s="58"/>
      <c r="BR44" s="58"/>
      <c r="BS44" s="58"/>
      <c r="BT44" s="58"/>
      <c r="BU44" s="58"/>
      <c r="BV44" s="58"/>
      <c r="BW44" s="58"/>
      <c r="BX44" s="58"/>
      <c r="BY44" s="58"/>
      <c r="BZ44" s="58"/>
      <c r="CA44" s="58"/>
      <c r="CB44" s="58"/>
      <c r="CC44" s="58"/>
      <c r="CD44" s="58"/>
      <c r="CE44" s="58"/>
      <c r="CF44" s="58"/>
      <c r="CG44" s="58"/>
      <c r="CH44" s="58"/>
      <c r="CI44" s="58"/>
      <c r="CJ44" s="58"/>
      <c r="CK44" s="58"/>
      <c r="CL44" s="58"/>
      <c r="CM44" s="58"/>
      <c r="CN44" s="58"/>
      <c r="CO44" s="58"/>
      <c r="CP44" s="58"/>
      <c r="CQ44" s="58"/>
      <c r="CR44" s="58"/>
      <c r="CS44" s="58"/>
      <c r="CT44" s="58"/>
      <c r="CU44" s="58"/>
      <c r="CV44" s="58"/>
    </row>
    <row r="45" spans="1:100" ht="15" customHeight="1" thickBot="1" x14ac:dyDescent="0.3">
      <c r="A45" s="58"/>
      <c r="B45" s="356"/>
      <c r="C45" s="356"/>
      <c r="D45" s="357"/>
      <c r="E45" s="331"/>
      <c r="F45" s="332"/>
      <c r="G45" s="332"/>
      <c r="H45" s="332"/>
      <c r="I45" s="333"/>
      <c r="J45" s="272"/>
      <c r="K45" s="270"/>
      <c r="L45" s="270"/>
      <c r="M45" s="270"/>
      <c r="N45" s="270"/>
      <c r="O45" s="270"/>
      <c r="P45" s="270"/>
      <c r="Q45" s="270"/>
      <c r="R45" s="270"/>
      <c r="S45" s="271"/>
      <c r="T45" s="272"/>
      <c r="U45" s="270"/>
      <c r="V45" s="270"/>
      <c r="W45" s="270"/>
      <c r="X45" s="270"/>
      <c r="Y45" s="270"/>
      <c r="Z45" s="270"/>
      <c r="AA45" s="270"/>
      <c r="AB45" s="270"/>
      <c r="AC45" s="271"/>
      <c r="AD45" s="275"/>
      <c r="AE45" s="273"/>
      <c r="AF45" s="273"/>
      <c r="AG45" s="273"/>
      <c r="AH45" s="273"/>
      <c r="AI45" s="273"/>
      <c r="AJ45" s="273"/>
      <c r="AK45" s="273"/>
      <c r="AL45" s="273"/>
      <c r="AM45" s="273"/>
      <c r="AN45" s="275"/>
      <c r="AO45" s="273"/>
      <c r="AP45" s="273"/>
      <c r="AQ45" s="273"/>
      <c r="AR45" s="273"/>
      <c r="AS45" s="273"/>
      <c r="AT45" s="273"/>
      <c r="AU45" s="273"/>
      <c r="AV45" s="273"/>
      <c r="AW45" s="273"/>
      <c r="AX45" s="285"/>
      <c r="AY45" s="267"/>
      <c r="AZ45" s="267"/>
      <c r="BA45" s="267"/>
      <c r="BB45" s="267"/>
      <c r="BC45" s="267"/>
      <c r="BD45" s="267"/>
      <c r="BE45" s="267"/>
      <c r="BF45" s="267"/>
      <c r="BG45" s="286"/>
      <c r="BH45" s="58"/>
      <c r="BI45" s="305"/>
      <c r="BJ45" s="306"/>
      <c r="BK45" s="306"/>
      <c r="BL45" s="306"/>
      <c r="BM45" s="306"/>
      <c r="BN45" s="307"/>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8"/>
      <c r="CN45" s="58"/>
      <c r="CO45" s="58"/>
      <c r="CP45" s="58"/>
      <c r="CQ45" s="58"/>
      <c r="CR45" s="58"/>
      <c r="CS45" s="58"/>
      <c r="CT45" s="58"/>
      <c r="CU45" s="58"/>
      <c r="CV45" s="58"/>
    </row>
    <row r="46" spans="1:100" ht="15" customHeight="1" x14ac:dyDescent="0.25">
      <c r="A46" s="58"/>
      <c r="B46" s="356"/>
      <c r="C46" s="356"/>
      <c r="D46" s="357"/>
      <c r="E46" s="329" t="s">
        <v>111</v>
      </c>
      <c r="F46" s="330"/>
      <c r="G46" s="330"/>
      <c r="H46" s="330"/>
      <c r="I46" s="330"/>
      <c r="J46" s="277" t="str">
        <f>IF(AND('Mapa final'!$K$7="Media",'Mapa final'!$O$7="Leve"),CONCATENATE("R",'Mapa final'!$A$7),"")</f>
        <v/>
      </c>
      <c r="K46" s="278"/>
      <c r="L46" s="278" t="str">
        <f>IF(AND('Mapa final'!$K$10="Media",'Mapa final'!$O$10="Leve"),CONCATENATE("R",'Mapa final'!$A$10),"")</f>
        <v/>
      </c>
      <c r="M46" s="278"/>
      <c r="N46" s="278" t="str">
        <f>IF(AND('Mapa final'!$K$13="Media",'Mapa final'!$O$13="Leve"),CONCATENATE("R",'Mapa final'!$A$13),"")</f>
        <v/>
      </c>
      <c r="O46" s="278"/>
      <c r="P46" s="278" t="str">
        <f>IF(AND('Mapa final'!$K$16="Media",'Mapa final'!$O$16="Leve"),CONCATENATE("R",'Mapa final'!$A$16),"")</f>
        <v>R4</v>
      </c>
      <c r="Q46" s="278"/>
      <c r="R46" s="278" t="str">
        <f>IF(AND('Mapa final'!$K$19="Media",'Mapa final'!$O$19="Leve"),CONCATENATE("R",'Mapa final'!$A$19),"")</f>
        <v>R5</v>
      </c>
      <c r="S46" s="279"/>
      <c r="T46" s="277" t="str">
        <f>IF(AND('Mapa final'!$K$7="Media",'Mapa final'!$O$7="Menor"),CONCATENATE("R",'Mapa final'!$A$7),"")</f>
        <v/>
      </c>
      <c r="U46" s="278"/>
      <c r="V46" s="278" t="str">
        <f>IF(AND('Mapa final'!$K$10="Media",'Mapa final'!$O$10="Menor"),CONCATENATE("R",'Mapa final'!$A$10),"")</f>
        <v/>
      </c>
      <c r="W46" s="278"/>
      <c r="X46" s="278" t="str">
        <f>IF(AND('Mapa final'!$K$13="Media",'Mapa final'!$O$13="Menor"),CONCATENATE("R",'Mapa final'!$A$13),"")</f>
        <v/>
      </c>
      <c r="Y46" s="278"/>
      <c r="Z46" s="278" t="str">
        <f>IF(AND('Mapa final'!$K$16="Media",'Mapa final'!$O$16="Menor"),CONCATENATE("R",'Mapa final'!$A$16),"")</f>
        <v/>
      </c>
      <c r="AA46" s="278"/>
      <c r="AB46" s="278" t="str">
        <f>IF(AND('Mapa final'!$K$19="Media",'Mapa final'!$O$19="Menor"),CONCATENATE("R",'Mapa final'!$A$19),"")</f>
        <v/>
      </c>
      <c r="AC46" s="279"/>
      <c r="AD46" s="277" t="str">
        <f>IF(AND('Mapa final'!$K$7="Media",'Mapa final'!$O$7="Moderado"),CONCATENATE("R",'Mapa final'!$A$7),"")</f>
        <v/>
      </c>
      <c r="AE46" s="278"/>
      <c r="AF46" s="278" t="str">
        <f>IF(AND('Mapa final'!$K$10="Media",'Mapa final'!$O$10="Moderado"),CONCATENATE("R",'Mapa final'!$A$10),"")</f>
        <v>R2</v>
      </c>
      <c r="AG46" s="278"/>
      <c r="AH46" s="278" t="str">
        <f>IF(AND('Mapa final'!$K$13="Media",'Mapa final'!$O$13="Moderado"),CONCATENATE("R",'Mapa final'!$A$13),"")</f>
        <v/>
      </c>
      <c r="AI46" s="278"/>
      <c r="AJ46" s="278" t="str">
        <f>IF(AND('Mapa final'!$K$16="Media",'Mapa final'!$O$16="Moderado"),CONCATENATE("R",'Mapa final'!$A$16),"")</f>
        <v/>
      </c>
      <c r="AK46" s="278"/>
      <c r="AL46" s="278" t="str">
        <f>IF(AND('Mapa final'!$K$19="Media",'Mapa final'!$O$19="Moderado"),CONCATENATE("R",'Mapa final'!$A$19),"")</f>
        <v/>
      </c>
      <c r="AM46" s="279"/>
      <c r="AN46" s="283" t="str">
        <f>IF(AND('Mapa final'!$K$7="Media",'Mapa final'!$O$7="Mayor"),CONCATENATE("R",'Mapa final'!$A$7),"")</f>
        <v/>
      </c>
      <c r="AO46" s="284"/>
      <c r="AP46" s="284" t="str">
        <f>IF(AND('Mapa final'!$K$10="Media",'Mapa final'!$O$10="Mayor"),CONCATENATE("R",'Mapa final'!$A$10),"")</f>
        <v/>
      </c>
      <c r="AQ46" s="284"/>
      <c r="AR46" s="284" t="str">
        <f>IF(AND('Mapa final'!$K$13="Media",'Mapa final'!$O$13="Mayor"),CONCATENATE("R",'Mapa final'!$A$13),"")</f>
        <v/>
      </c>
      <c r="AS46" s="284"/>
      <c r="AT46" s="284" t="str">
        <f>IF(AND('Mapa final'!$K$16="Media",'Mapa final'!$O$16="Mayor"),CONCATENATE("R",'Mapa final'!$A$16),"")</f>
        <v/>
      </c>
      <c r="AU46" s="284"/>
      <c r="AV46" s="284" t="str">
        <f>IF(AND('Mapa final'!$K$19="Media",'Mapa final'!$O$19="Mayor"),CONCATENATE("R",'Mapa final'!$A$19),"")</f>
        <v/>
      </c>
      <c r="AW46" s="284"/>
      <c r="AX46" s="288" t="str">
        <f>IF(AND('Mapa final'!$K$7="Media",'Mapa final'!$O$7="Catastrófico"),CONCATENATE("R",'Mapa final'!$A$7),"")</f>
        <v/>
      </c>
      <c r="AY46" s="289"/>
      <c r="AZ46" s="289" t="str">
        <f>IF(AND('Mapa final'!$K$10="Media",'Mapa final'!$O$10="Catastrófico"),CONCATENATE("R",'Mapa final'!$A$10),"")</f>
        <v/>
      </c>
      <c r="BA46" s="289"/>
      <c r="BB46" s="289" t="str">
        <f>IF(AND('Mapa final'!$K$13="Media",'Mapa final'!$O$13="Catastrófico"),CONCATENATE("R",'Mapa final'!$A$13),"")</f>
        <v/>
      </c>
      <c r="BC46" s="289"/>
      <c r="BD46" s="289" t="str">
        <f>IF(AND('Mapa final'!$K$16="Media",'Mapa final'!$O$16="Catastrófico"),CONCATENATE("R",'Mapa final'!$A$16),"")</f>
        <v/>
      </c>
      <c r="BE46" s="289"/>
      <c r="BF46" s="289" t="str">
        <f>IF(AND('Mapa final'!$K$19="Media",'Mapa final'!$O$19="Catastrófico"),CONCATENATE("R",'Mapa final'!$A$19),"")</f>
        <v/>
      </c>
      <c r="BG46" s="347"/>
      <c r="BH46" s="58"/>
      <c r="BI46" s="305"/>
      <c r="BJ46" s="306"/>
      <c r="BK46" s="306"/>
      <c r="BL46" s="306"/>
      <c r="BM46" s="306"/>
      <c r="BN46" s="307"/>
      <c r="BO46" s="58"/>
      <c r="BP46" s="58"/>
      <c r="BQ46" s="58"/>
      <c r="BR46" s="58"/>
      <c r="BS46" s="58"/>
      <c r="BT46" s="58"/>
      <c r="BU46" s="58"/>
      <c r="BV46" s="58"/>
      <c r="BW46" s="58"/>
      <c r="BX46" s="58"/>
      <c r="BY46" s="58"/>
      <c r="BZ46" s="58"/>
      <c r="CA46" s="58"/>
      <c r="CB46" s="58"/>
      <c r="CC46" s="58"/>
      <c r="CD46" s="58"/>
      <c r="CE46" s="58"/>
      <c r="CF46" s="58"/>
      <c r="CG46" s="58"/>
      <c r="CH46" s="58"/>
      <c r="CI46" s="58"/>
      <c r="CJ46" s="58"/>
      <c r="CK46" s="58"/>
      <c r="CL46" s="58"/>
      <c r="CM46" s="58"/>
      <c r="CN46" s="58"/>
      <c r="CO46" s="58"/>
      <c r="CP46" s="58"/>
      <c r="CQ46" s="58"/>
      <c r="CR46" s="58"/>
      <c r="CS46" s="58"/>
      <c r="CT46" s="58"/>
      <c r="CU46" s="58"/>
      <c r="CV46" s="58"/>
    </row>
    <row r="47" spans="1:100" ht="15" customHeight="1" x14ac:dyDescent="0.25">
      <c r="A47" s="58"/>
      <c r="B47" s="356"/>
      <c r="C47" s="356"/>
      <c r="D47" s="357"/>
      <c r="E47" s="331"/>
      <c r="F47" s="332"/>
      <c r="G47" s="332"/>
      <c r="H47" s="332"/>
      <c r="I47" s="333"/>
      <c r="J47" s="272"/>
      <c r="K47" s="270"/>
      <c r="L47" s="270"/>
      <c r="M47" s="270"/>
      <c r="N47" s="270"/>
      <c r="O47" s="270"/>
      <c r="P47" s="270"/>
      <c r="Q47" s="270"/>
      <c r="R47" s="270"/>
      <c r="S47" s="271"/>
      <c r="T47" s="272"/>
      <c r="U47" s="270"/>
      <c r="V47" s="270"/>
      <c r="W47" s="270"/>
      <c r="X47" s="270"/>
      <c r="Y47" s="270"/>
      <c r="Z47" s="270"/>
      <c r="AA47" s="270"/>
      <c r="AB47" s="270"/>
      <c r="AC47" s="271"/>
      <c r="AD47" s="272"/>
      <c r="AE47" s="270"/>
      <c r="AF47" s="270"/>
      <c r="AG47" s="270"/>
      <c r="AH47" s="270"/>
      <c r="AI47" s="270"/>
      <c r="AJ47" s="270"/>
      <c r="AK47" s="270"/>
      <c r="AL47" s="270"/>
      <c r="AM47" s="271"/>
      <c r="AN47" s="275"/>
      <c r="AO47" s="273"/>
      <c r="AP47" s="273"/>
      <c r="AQ47" s="273"/>
      <c r="AR47" s="273"/>
      <c r="AS47" s="273"/>
      <c r="AT47" s="273"/>
      <c r="AU47" s="273"/>
      <c r="AV47" s="273"/>
      <c r="AW47" s="273"/>
      <c r="AX47" s="285"/>
      <c r="AY47" s="267"/>
      <c r="AZ47" s="267"/>
      <c r="BA47" s="267"/>
      <c r="BB47" s="267"/>
      <c r="BC47" s="267"/>
      <c r="BD47" s="267"/>
      <c r="BE47" s="267"/>
      <c r="BF47" s="267"/>
      <c r="BG47" s="286"/>
      <c r="BH47" s="58"/>
      <c r="BI47" s="305"/>
      <c r="BJ47" s="306"/>
      <c r="BK47" s="306"/>
      <c r="BL47" s="306"/>
      <c r="BM47" s="306"/>
      <c r="BN47" s="307"/>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58"/>
      <c r="CN47" s="58"/>
      <c r="CO47" s="58"/>
      <c r="CP47" s="58"/>
      <c r="CQ47" s="58"/>
      <c r="CR47" s="58"/>
      <c r="CS47" s="58"/>
      <c r="CT47" s="58"/>
      <c r="CU47" s="58"/>
      <c r="CV47" s="58"/>
    </row>
    <row r="48" spans="1:100" ht="15" customHeight="1" x14ac:dyDescent="0.25">
      <c r="A48" s="58"/>
      <c r="B48" s="356"/>
      <c r="C48" s="356"/>
      <c r="D48" s="357"/>
      <c r="E48" s="331"/>
      <c r="F48" s="332"/>
      <c r="G48" s="332"/>
      <c r="H48" s="332"/>
      <c r="I48" s="333"/>
      <c r="J48" s="272" t="str">
        <f>IF(AND('Mapa final'!$K$22="Media",'Mapa final'!$O$22="Leve"),CONCATENATE("R",'Mapa final'!$A$22),"")</f>
        <v/>
      </c>
      <c r="K48" s="270"/>
      <c r="L48" s="270" t="str">
        <f>IF(AND('Mapa final'!$K$25="Media",'Mapa final'!$O$25="Leve"),CONCATENATE("R",'Mapa final'!$A$25),"")</f>
        <v/>
      </c>
      <c r="M48" s="270"/>
      <c r="N48" s="270" t="str">
        <f>IF(AND('Mapa final'!$K$28="Media",'Mapa final'!$O$28="Leve"),CONCATENATE("R",'Mapa final'!$A$28),"")</f>
        <v/>
      </c>
      <c r="O48" s="270"/>
      <c r="P48" s="270" t="str">
        <f>IF(AND('Mapa final'!$K$31="Media",'Mapa final'!$O$31="Leve"),CONCATENATE("R",'Mapa final'!$A$31),"")</f>
        <v/>
      </c>
      <c r="Q48" s="270"/>
      <c r="R48" s="270" t="str">
        <f>IF(AND('Mapa final'!$K$34="Media",'Mapa final'!$O$34="Leve"),CONCATENATE("R",'Mapa final'!$A$34),"")</f>
        <v/>
      </c>
      <c r="S48" s="271"/>
      <c r="T48" s="272" t="str">
        <f>IF(AND('Mapa final'!$K$22="Media",'Mapa final'!$O$22="Menor"),CONCATENATE("R",'Mapa final'!$A$22),"")</f>
        <v/>
      </c>
      <c r="U48" s="270"/>
      <c r="V48" s="270" t="str">
        <f>IF(AND('Mapa final'!$K$25="Media",'Mapa final'!$O$25="Menor"),CONCATENATE("R",'Mapa final'!$A$25),"")</f>
        <v/>
      </c>
      <c r="W48" s="270"/>
      <c r="X48" s="270" t="str">
        <f>IF(AND('Mapa final'!$K$28="Media",'Mapa final'!$O$28="Menor"),CONCATENATE("R",'Mapa final'!$A$28),"")</f>
        <v/>
      </c>
      <c r="Y48" s="270"/>
      <c r="Z48" s="270" t="str">
        <f>IF(AND('Mapa final'!$K$31="Media",'Mapa final'!$O$31="Menor"),CONCATENATE("R",'Mapa final'!$A$31),"")</f>
        <v/>
      </c>
      <c r="AA48" s="270"/>
      <c r="AB48" s="270" t="str">
        <f>IF(AND('Mapa final'!$K$34="Media",'Mapa final'!$O$34="Menor"),CONCATENATE("R",'Mapa final'!$A$34),"")</f>
        <v/>
      </c>
      <c r="AC48" s="271"/>
      <c r="AD48" s="272" t="str">
        <f>IF(AND('Mapa final'!$K$22="Media",'Mapa final'!$O$22="Moderado"),CONCATENATE("R",'Mapa final'!$A$22),"")</f>
        <v/>
      </c>
      <c r="AE48" s="270"/>
      <c r="AF48" s="270" t="str">
        <f>IF(AND('Mapa final'!$K$25="Media",'Mapa final'!$O$25="Moderado"),CONCATENATE("R",'Mapa final'!$A$25),"")</f>
        <v/>
      </c>
      <c r="AG48" s="270"/>
      <c r="AH48" s="270" t="str">
        <f>IF(AND('Mapa final'!$K$28="Media",'Mapa final'!$O$28="Moderado"),CONCATENATE("R",'Mapa final'!$A$28),"")</f>
        <v/>
      </c>
      <c r="AI48" s="270"/>
      <c r="AJ48" s="270" t="str">
        <f>IF(AND('Mapa final'!$K$31="Media",'Mapa final'!$O$31="Moderado"),CONCATENATE("R",'Mapa final'!$A$31),"")</f>
        <v/>
      </c>
      <c r="AK48" s="270"/>
      <c r="AL48" s="270" t="str">
        <f>IF(AND('Mapa final'!$K$34="Media",'Mapa final'!$O$34="Moderado"),CONCATENATE("R",'Mapa final'!$A$34),"")</f>
        <v/>
      </c>
      <c r="AM48" s="271"/>
      <c r="AN48" s="275" t="str">
        <f>IF(AND('Mapa final'!$K$22="Media",'Mapa final'!$O$22="Mayor"),CONCATENATE("R",'Mapa final'!$A$22),"")</f>
        <v/>
      </c>
      <c r="AO48" s="273"/>
      <c r="AP48" s="273" t="str">
        <f>IF(AND('Mapa final'!$K$25="Media",'Mapa final'!$O$25="Mayor"),CONCATENATE("R",'Mapa final'!$A$25),"")</f>
        <v/>
      </c>
      <c r="AQ48" s="273"/>
      <c r="AR48" s="273" t="str">
        <f>IF(AND('Mapa final'!$K$28="Media",'Mapa final'!$O$28="Mayor"),CONCATENATE("R",'Mapa final'!$A$28),"")</f>
        <v/>
      </c>
      <c r="AS48" s="273"/>
      <c r="AT48" s="273" t="str">
        <f>IF(AND('Mapa final'!$K$31="Media",'Mapa final'!$O$31="Mayor"),CONCATENATE("R",'Mapa final'!$A$31),"")</f>
        <v/>
      </c>
      <c r="AU48" s="273"/>
      <c r="AV48" s="273" t="str">
        <f>IF(AND('Mapa final'!$K$34="Media",'Mapa final'!$O$34="Mayor"),CONCATENATE("R",'Mapa final'!$A$34),"")</f>
        <v/>
      </c>
      <c r="AW48" s="273"/>
      <c r="AX48" s="285" t="str">
        <f>IF(AND('Mapa final'!$K$22="Media",'Mapa final'!$O$22="Catastrófico"),CONCATENATE("R",'Mapa final'!$A$22),"")</f>
        <v/>
      </c>
      <c r="AY48" s="267"/>
      <c r="AZ48" s="267" t="str">
        <f>IF(AND('Mapa final'!$K$25="Media",'Mapa final'!$O$25="Catastrófico"),CONCATENATE("R",'Mapa final'!$A$25),"")</f>
        <v/>
      </c>
      <c r="BA48" s="267"/>
      <c r="BB48" s="267" t="str">
        <f>IF(AND('Mapa final'!$K$28="Media",'Mapa final'!$O$28="Catastrófico"),CONCATENATE("R",'Mapa final'!$A$28),"")</f>
        <v/>
      </c>
      <c r="BC48" s="267"/>
      <c r="BD48" s="267" t="str">
        <f>IF(AND('Mapa final'!$K$31="Media",'Mapa final'!$O$31="Catastrófico"),CONCATENATE("R",'Mapa final'!$A$31),"")</f>
        <v/>
      </c>
      <c r="BE48" s="267"/>
      <c r="BF48" s="267" t="str">
        <f>IF(AND('Mapa final'!$K$34="Media",'Mapa final'!$O$34="Catastrófico"),CONCATENATE("R",'Mapa final'!$A$34),"")</f>
        <v/>
      </c>
      <c r="BG48" s="286"/>
      <c r="BH48" s="58"/>
      <c r="BI48" s="305"/>
      <c r="BJ48" s="306"/>
      <c r="BK48" s="306"/>
      <c r="BL48" s="306"/>
      <c r="BM48" s="306"/>
      <c r="BN48" s="307"/>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8"/>
      <c r="CM48" s="58"/>
      <c r="CN48" s="58"/>
      <c r="CO48" s="58"/>
      <c r="CP48" s="58"/>
      <c r="CQ48" s="58"/>
      <c r="CR48" s="58"/>
      <c r="CS48" s="58"/>
      <c r="CT48" s="58"/>
      <c r="CU48" s="58"/>
      <c r="CV48" s="58"/>
    </row>
    <row r="49" spans="1:100" ht="15" customHeight="1" x14ac:dyDescent="0.25">
      <c r="A49" s="58"/>
      <c r="B49" s="356"/>
      <c r="C49" s="356"/>
      <c r="D49" s="357"/>
      <c r="E49" s="331"/>
      <c r="F49" s="332"/>
      <c r="G49" s="332"/>
      <c r="H49" s="332"/>
      <c r="I49" s="333"/>
      <c r="J49" s="272"/>
      <c r="K49" s="270"/>
      <c r="L49" s="270"/>
      <c r="M49" s="270"/>
      <c r="N49" s="270"/>
      <c r="O49" s="270"/>
      <c r="P49" s="270"/>
      <c r="Q49" s="270"/>
      <c r="R49" s="270"/>
      <c r="S49" s="271"/>
      <c r="T49" s="272"/>
      <c r="U49" s="270"/>
      <c r="V49" s="270"/>
      <c r="W49" s="270"/>
      <c r="X49" s="270"/>
      <c r="Y49" s="270"/>
      <c r="Z49" s="270"/>
      <c r="AA49" s="270"/>
      <c r="AB49" s="270"/>
      <c r="AC49" s="271"/>
      <c r="AD49" s="272"/>
      <c r="AE49" s="270"/>
      <c r="AF49" s="270"/>
      <c r="AG49" s="270"/>
      <c r="AH49" s="270"/>
      <c r="AI49" s="270"/>
      <c r="AJ49" s="270"/>
      <c r="AK49" s="270"/>
      <c r="AL49" s="270"/>
      <c r="AM49" s="271"/>
      <c r="AN49" s="275"/>
      <c r="AO49" s="273"/>
      <c r="AP49" s="273"/>
      <c r="AQ49" s="273"/>
      <c r="AR49" s="273"/>
      <c r="AS49" s="273"/>
      <c r="AT49" s="273"/>
      <c r="AU49" s="273"/>
      <c r="AV49" s="273"/>
      <c r="AW49" s="273"/>
      <c r="AX49" s="285"/>
      <c r="AY49" s="267"/>
      <c r="AZ49" s="267"/>
      <c r="BA49" s="267"/>
      <c r="BB49" s="267"/>
      <c r="BC49" s="267"/>
      <c r="BD49" s="267"/>
      <c r="BE49" s="267"/>
      <c r="BF49" s="267"/>
      <c r="BG49" s="286"/>
      <c r="BH49" s="58"/>
      <c r="BI49" s="305"/>
      <c r="BJ49" s="306"/>
      <c r="BK49" s="306"/>
      <c r="BL49" s="306"/>
      <c r="BM49" s="306"/>
      <c r="BN49" s="307"/>
      <c r="BO49" s="58"/>
      <c r="BP49" s="58"/>
      <c r="BQ49" s="58"/>
      <c r="BR49" s="58"/>
      <c r="BS49" s="58"/>
      <c r="BT49" s="58"/>
      <c r="BU49" s="58"/>
      <c r="BV49" s="58"/>
      <c r="BW49" s="58"/>
      <c r="BX49" s="58"/>
      <c r="BY49" s="58"/>
      <c r="BZ49" s="58"/>
      <c r="CA49" s="58"/>
      <c r="CB49" s="58"/>
      <c r="CC49" s="58"/>
      <c r="CD49" s="58"/>
      <c r="CE49" s="58"/>
      <c r="CF49" s="58"/>
      <c r="CG49" s="58"/>
      <c r="CH49" s="58"/>
      <c r="CI49" s="58"/>
      <c r="CJ49" s="58"/>
      <c r="CK49" s="58"/>
      <c r="CL49" s="58"/>
      <c r="CM49" s="58"/>
      <c r="CN49" s="58"/>
      <c r="CO49" s="58"/>
      <c r="CP49" s="58"/>
      <c r="CQ49" s="58"/>
      <c r="CR49" s="58"/>
      <c r="CS49" s="58"/>
      <c r="CT49" s="58"/>
      <c r="CU49" s="58"/>
      <c r="CV49" s="58"/>
    </row>
    <row r="50" spans="1:100" ht="15" customHeight="1" x14ac:dyDescent="0.25">
      <c r="A50" s="58"/>
      <c r="B50" s="356"/>
      <c r="C50" s="356"/>
      <c r="D50" s="357"/>
      <c r="E50" s="331"/>
      <c r="F50" s="332"/>
      <c r="G50" s="332"/>
      <c r="H50" s="332"/>
      <c r="I50" s="333"/>
      <c r="J50" s="272" t="str">
        <f>IF(AND('Mapa final'!$K$37="Media",'Mapa final'!$O$37="Leve"),CONCATENATE("R",'Mapa final'!$A$37),"")</f>
        <v/>
      </c>
      <c r="K50" s="270"/>
      <c r="L50" s="270" t="str">
        <f>IF(AND('Mapa final'!$K$40="Media",'Mapa final'!$O$40="Leve"),CONCATENATE("R",'Mapa final'!$A$40),"")</f>
        <v/>
      </c>
      <c r="M50" s="270"/>
      <c r="N50" s="270" t="str">
        <f>IF(AND('Mapa final'!$K$43="Media",'Mapa final'!$O$43="Leve"),CONCATENATE("R",'Mapa final'!$A$43),"")</f>
        <v/>
      </c>
      <c r="O50" s="270"/>
      <c r="P50" s="270" t="e">
        <f>IF(AND('Mapa final'!#REF!="Media",'Mapa final'!#REF!="Leve"),CONCATENATE("R",'Mapa final'!#REF!),"")</f>
        <v>#REF!</v>
      </c>
      <c r="Q50" s="270"/>
      <c r="R50" s="270" t="str">
        <f>IF(AND('Mapa final'!$K$46="Media",'Mapa final'!$O$46="Leve"),CONCATENATE("R",'Mapa final'!$A$46),"")</f>
        <v/>
      </c>
      <c r="S50" s="271"/>
      <c r="T50" s="272" t="str">
        <f>IF(AND('Mapa final'!$K$37="Media",'Mapa final'!$O$37="Menor"),CONCATENATE("R",'Mapa final'!$A$37),"")</f>
        <v/>
      </c>
      <c r="U50" s="270"/>
      <c r="V50" s="270" t="str">
        <f>IF(AND('Mapa final'!$K$40="Media",'Mapa final'!$O$40="Menor"),CONCATENATE("R",'Mapa final'!$A$40),"")</f>
        <v/>
      </c>
      <c r="W50" s="270"/>
      <c r="X50" s="270" t="str">
        <f>IF(AND('Mapa final'!$K$43="Media",'Mapa final'!$O$43="Menor"),CONCATENATE("R",'Mapa final'!$A$43),"")</f>
        <v/>
      </c>
      <c r="Y50" s="270"/>
      <c r="Z50" s="270" t="e">
        <f>IF(AND('Mapa final'!#REF!="Media",'Mapa final'!#REF!="Menor"),CONCATENATE("R",'Mapa final'!#REF!),"")</f>
        <v>#REF!</v>
      </c>
      <c r="AA50" s="270"/>
      <c r="AB50" s="270" t="str">
        <f>IF(AND('Mapa final'!$K$46="Media",'Mapa final'!$O$46="Menor"),CONCATENATE("R",'Mapa final'!$A$46),"")</f>
        <v/>
      </c>
      <c r="AC50" s="271"/>
      <c r="AD50" s="272" t="str">
        <f>IF(AND('Mapa final'!$K$37="Media",'Mapa final'!$O$37="Moderado"),CONCATENATE("R",'Mapa final'!$A$37),"")</f>
        <v/>
      </c>
      <c r="AE50" s="270"/>
      <c r="AF50" s="270" t="str">
        <f>IF(AND('Mapa final'!$K$40="Media",'Mapa final'!$O$40="Moderado"),CONCATENATE("R",'Mapa final'!$A$40),"")</f>
        <v/>
      </c>
      <c r="AG50" s="270"/>
      <c r="AH50" s="270" t="str">
        <f>IF(AND('Mapa final'!$K$43="Media",'Mapa final'!$O$43="Moderado"),CONCATENATE("R",'Mapa final'!$A$43),"")</f>
        <v/>
      </c>
      <c r="AI50" s="270"/>
      <c r="AJ50" s="270" t="e">
        <f>IF(AND('Mapa final'!#REF!="Media",'Mapa final'!#REF!="Moderado"),CONCATENATE("R",'Mapa final'!#REF!),"")</f>
        <v>#REF!</v>
      </c>
      <c r="AK50" s="270"/>
      <c r="AL50" s="270" t="str">
        <f>IF(AND('Mapa final'!$K$46="Media",'Mapa final'!$O$46="Moderado"),CONCATENATE("R",'Mapa final'!$A$46),"")</f>
        <v/>
      </c>
      <c r="AM50" s="271"/>
      <c r="AN50" s="275" t="str">
        <f>IF(AND('Mapa final'!$K$37="Media",'Mapa final'!$O$37="Mayor"),CONCATENATE("R",'Mapa final'!$A$37),"")</f>
        <v/>
      </c>
      <c r="AO50" s="273"/>
      <c r="AP50" s="273" t="str">
        <f>IF(AND('Mapa final'!$K$40="Media",'Mapa final'!$O$40="Mayor"),CONCATENATE("R",'Mapa final'!$A$40),"")</f>
        <v/>
      </c>
      <c r="AQ50" s="273"/>
      <c r="AR50" s="273" t="str">
        <f>IF(AND('Mapa final'!$K$43="Media",'Mapa final'!$O$43="Mayor"),CONCATENATE("R",'Mapa final'!$A$43),"")</f>
        <v/>
      </c>
      <c r="AS50" s="273"/>
      <c r="AT50" s="273" t="e">
        <f>IF(AND('Mapa final'!#REF!="Media",'Mapa final'!#REF!="Mayor"),CONCATENATE("R",'Mapa final'!#REF!),"")</f>
        <v>#REF!</v>
      </c>
      <c r="AU50" s="273"/>
      <c r="AV50" s="273" t="str">
        <f>IF(AND('Mapa final'!$K$46="Media",'Mapa final'!$O$46="Mayor"),CONCATENATE("R",'Mapa final'!$A$46),"")</f>
        <v/>
      </c>
      <c r="AW50" s="273"/>
      <c r="AX50" s="285" t="str">
        <f>IF(AND('Mapa final'!$K$37="Media",'Mapa final'!$O$37="Catastrófico"),CONCATENATE("R",'Mapa final'!$A$37),"")</f>
        <v/>
      </c>
      <c r="AY50" s="267"/>
      <c r="AZ50" s="267" t="str">
        <f>IF(AND('Mapa final'!$K$40="Media",'Mapa final'!$O$40="Catastrófico"),CONCATENATE("R",'Mapa final'!$A$40),"")</f>
        <v/>
      </c>
      <c r="BA50" s="267"/>
      <c r="BB50" s="267" t="str">
        <f>IF(AND('Mapa final'!$K$43="Media",'Mapa final'!$O$43="Catastrófico"),CONCATENATE("R",'Mapa final'!$A$43),"")</f>
        <v/>
      </c>
      <c r="BC50" s="267"/>
      <c r="BD50" s="267" t="e">
        <f>IF(AND('Mapa final'!#REF!="Media",'Mapa final'!#REF!="Catastrófico"),CONCATENATE("R",'Mapa final'!#REF!),"")</f>
        <v>#REF!</v>
      </c>
      <c r="BE50" s="267"/>
      <c r="BF50" s="267" t="str">
        <f>IF(AND('Mapa final'!$K$46="Media",'Mapa final'!$O$46="Catastrófico"),CONCATENATE("R",'Mapa final'!$A$46),"")</f>
        <v/>
      </c>
      <c r="BG50" s="286"/>
      <c r="BH50" s="58"/>
      <c r="BI50" s="305"/>
      <c r="BJ50" s="306"/>
      <c r="BK50" s="306"/>
      <c r="BL50" s="306"/>
      <c r="BM50" s="306"/>
      <c r="BN50" s="307"/>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8"/>
      <c r="CM50" s="58"/>
      <c r="CN50" s="58"/>
      <c r="CO50" s="58"/>
      <c r="CP50" s="58"/>
      <c r="CQ50" s="58"/>
      <c r="CR50" s="58"/>
      <c r="CS50" s="58"/>
      <c r="CT50" s="58"/>
      <c r="CU50" s="58"/>
      <c r="CV50" s="58"/>
    </row>
    <row r="51" spans="1:100" ht="15" customHeight="1" x14ac:dyDescent="0.25">
      <c r="A51" s="58"/>
      <c r="B51" s="356"/>
      <c r="C51" s="356"/>
      <c r="D51" s="357"/>
      <c r="E51" s="331"/>
      <c r="F51" s="332"/>
      <c r="G51" s="332"/>
      <c r="H51" s="332"/>
      <c r="I51" s="333"/>
      <c r="J51" s="272"/>
      <c r="K51" s="270"/>
      <c r="L51" s="270"/>
      <c r="M51" s="270"/>
      <c r="N51" s="270"/>
      <c r="O51" s="270"/>
      <c r="P51" s="270"/>
      <c r="Q51" s="270"/>
      <c r="R51" s="270"/>
      <c r="S51" s="271"/>
      <c r="T51" s="272"/>
      <c r="U51" s="270"/>
      <c r="V51" s="270"/>
      <c r="W51" s="270"/>
      <c r="X51" s="270"/>
      <c r="Y51" s="270"/>
      <c r="Z51" s="270"/>
      <c r="AA51" s="270"/>
      <c r="AB51" s="270"/>
      <c r="AC51" s="271"/>
      <c r="AD51" s="272"/>
      <c r="AE51" s="270"/>
      <c r="AF51" s="270"/>
      <c r="AG51" s="270"/>
      <c r="AH51" s="270"/>
      <c r="AI51" s="270"/>
      <c r="AJ51" s="270"/>
      <c r="AK51" s="270"/>
      <c r="AL51" s="270"/>
      <c r="AM51" s="271"/>
      <c r="AN51" s="275"/>
      <c r="AO51" s="273"/>
      <c r="AP51" s="273"/>
      <c r="AQ51" s="273"/>
      <c r="AR51" s="273"/>
      <c r="AS51" s="273"/>
      <c r="AT51" s="273"/>
      <c r="AU51" s="273"/>
      <c r="AV51" s="273"/>
      <c r="AW51" s="273"/>
      <c r="AX51" s="285"/>
      <c r="AY51" s="267"/>
      <c r="AZ51" s="267"/>
      <c r="BA51" s="267"/>
      <c r="BB51" s="267"/>
      <c r="BC51" s="267"/>
      <c r="BD51" s="267"/>
      <c r="BE51" s="267"/>
      <c r="BF51" s="267"/>
      <c r="BG51" s="286"/>
      <c r="BH51" s="58"/>
      <c r="BI51" s="305"/>
      <c r="BJ51" s="306"/>
      <c r="BK51" s="306"/>
      <c r="BL51" s="306"/>
      <c r="BM51" s="306"/>
      <c r="BN51" s="307"/>
      <c r="BO51" s="58"/>
      <c r="BP51" s="58"/>
      <c r="BQ51" s="58"/>
      <c r="BR51" s="58"/>
      <c r="BS51" s="58"/>
      <c r="BT51" s="58"/>
      <c r="BU51" s="58"/>
      <c r="BV51" s="58"/>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row>
    <row r="52" spans="1:100" ht="15" customHeight="1" x14ac:dyDescent="0.25">
      <c r="A52" s="58"/>
      <c r="B52" s="356"/>
      <c r="C52" s="356"/>
      <c r="D52" s="357"/>
      <c r="E52" s="331"/>
      <c r="F52" s="332"/>
      <c r="G52" s="332"/>
      <c r="H52" s="332"/>
      <c r="I52" s="333"/>
      <c r="J52" s="272" t="str">
        <f>IF(AND('Mapa final'!$K$49="Media",'Mapa final'!$O$49="Leve"),CONCATENATE("R",'Mapa final'!$A$49),"")</f>
        <v/>
      </c>
      <c r="K52" s="270"/>
      <c r="L52" s="270" t="str">
        <f>IF(AND('Mapa final'!$K$52="Media",'Mapa final'!$O$52="Leve"),CONCATENATE("R",'Mapa final'!$A$52),"")</f>
        <v/>
      </c>
      <c r="M52" s="270"/>
      <c r="N52" s="270" t="str">
        <f>IF(AND('Mapa final'!$K$55="Media",'Mapa final'!$O$55="Leve"),CONCATENATE("R",'Mapa final'!$A$55),"")</f>
        <v/>
      </c>
      <c r="O52" s="270"/>
      <c r="P52" s="270" t="str">
        <f>IF(AND('Mapa final'!$K$58="Media",'Mapa final'!$O$58="Leve"),CONCATENATE("R",'Mapa final'!$A$58),"")</f>
        <v/>
      </c>
      <c r="Q52" s="270"/>
      <c r="R52" s="270" t="str">
        <f>IF(AND('Mapa final'!$K$61="Media",'Mapa final'!$O$61="Leve"),CONCATENATE("R",'Mapa final'!$A$61),"")</f>
        <v/>
      </c>
      <c r="S52" s="271"/>
      <c r="T52" s="272" t="str">
        <f>IF(AND('Mapa final'!$K$49="Media",'Mapa final'!$O$49="Menor"),CONCATENATE("R",'Mapa final'!$A$49),"")</f>
        <v/>
      </c>
      <c r="U52" s="270"/>
      <c r="V52" s="270" t="str">
        <f>IF(AND('Mapa final'!$K$52="Media",'Mapa final'!$O$52="Menor"),CONCATENATE("R",'Mapa final'!$A$52),"")</f>
        <v/>
      </c>
      <c r="W52" s="270"/>
      <c r="X52" s="270" t="str">
        <f>IF(AND('Mapa final'!$K$55="Media",'Mapa final'!$O$55="Menor"),CONCATENATE("R",'Mapa final'!$A$55),"")</f>
        <v/>
      </c>
      <c r="Y52" s="270"/>
      <c r="Z52" s="270" t="str">
        <f>IF(AND('Mapa final'!$K$58="Media",'Mapa final'!$O$58="Menor"),CONCATENATE("R",'Mapa final'!$A$58),"")</f>
        <v/>
      </c>
      <c r="AA52" s="270"/>
      <c r="AB52" s="270" t="str">
        <f>IF(AND('Mapa final'!$K$61="Media",'Mapa final'!$O$61="Menor"),CONCATENATE("R",'Mapa final'!$A$61),"")</f>
        <v/>
      </c>
      <c r="AC52" s="271"/>
      <c r="AD52" s="272" t="str">
        <f>IF(AND('Mapa final'!$K$49="Media",'Mapa final'!$O$49="Moderado"),CONCATENATE("R",'Mapa final'!$A$49),"")</f>
        <v/>
      </c>
      <c r="AE52" s="270"/>
      <c r="AF52" s="270" t="str">
        <f>IF(AND('Mapa final'!$K$52="Media",'Mapa final'!$O$52="Moderado"),CONCATENATE("R",'Mapa final'!$A$52),"")</f>
        <v/>
      </c>
      <c r="AG52" s="270"/>
      <c r="AH52" s="270" t="str">
        <f>IF(AND('Mapa final'!$K$55="Media",'Mapa final'!$O$55="Moderado"),CONCATENATE("R",'Mapa final'!$A$55),"")</f>
        <v/>
      </c>
      <c r="AI52" s="270"/>
      <c r="AJ52" s="270" t="str">
        <f>IF(AND('Mapa final'!$K$58="Media",'Mapa final'!$O$58="Moderado"),CONCATENATE("R",'Mapa final'!$A$58),"")</f>
        <v>R18</v>
      </c>
      <c r="AK52" s="270"/>
      <c r="AL52" s="270" t="str">
        <f>IF(AND('Mapa final'!$K$61="Media",'Mapa final'!$O$61="Moderado"),CONCATENATE("R",'Mapa final'!$A$61),"")</f>
        <v>R19</v>
      </c>
      <c r="AM52" s="271"/>
      <c r="AN52" s="275" t="str">
        <f>IF(AND('Mapa final'!$K$49="Media",'Mapa final'!$O$49="Mayor"),CONCATENATE("R",'Mapa final'!$A$49),"")</f>
        <v/>
      </c>
      <c r="AO52" s="273"/>
      <c r="AP52" s="273" t="str">
        <f>IF(AND('Mapa final'!$K$52="Media",'Mapa final'!$O$52="Mayor"),CONCATENATE("R",'Mapa final'!$A$52),"")</f>
        <v/>
      </c>
      <c r="AQ52" s="273"/>
      <c r="AR52" s="273" t="str">
        <f>IF(AND('Mapa final'!$K$55="Media",'Mapa final'!$O$55="Mayor"),CONCATENATE("R",'Mapa final'!$A$55),"")</f>
        <v/>
      </c>
      <c r="AS52" s="273"/>
      <c r="AT52" s="273" t="str">
        <f>IF(AND('Mapa final'!$K$58="Media",'Mapa final'!$O$58="Mayor"),CONCATENATE("R",'Mapa final'!$A$58),"")</f>
        <v/>
      </c>
      <c r="AU52" s="273"/>
      <c r="AV52" s="273" t="str">
        <f>IF(AND('Mapa final'!$K$61="Media",'Mapa final'!$O$61="Mayor"),CONCATENATE("R",'Mapa final'!$A$61),"")</f>
        <v/>
      </c>
      <c r="AW52" s="273"/>
      <c r="AX52" s="285" t="str">
        <f>IF(AND('Mapa final'!$K$49="Media",'Mapa final'!$O$49="Catastrófico"),CONCATENATE("R",'Mapa final'!$A$49),"")</f>
        <v/>
      </c>
      <c r="AY52" s="267"/>
      <c r="AZ52" s="267" t="str">
        <f>IF(AND('Mapa final'!$K$52="Media",'Mapa final'!$O$52="Catastrófico"),CONCATENATE("R",'Mapa final'!$A$52),"")</f>
        <v/>
      </c>
      <c r="BA52" s="267"/>
      <c r="BB52" s="267" t="str">
        <f>IF(AND('Mapa final'!$K$55="Media",'Mapa final'!$O$55="Catastrófico"),CONCATENATE("R",'Mapa final'!$A$55),"")</f>
        <v/>
      </c>
      <c r="BC52" s="267"/>
      <c r="BD52" s="267" t="str">
        <f>IF(AND('Mapa final'!$K$58="Media",'Mapa final'!$O$58="Catastrófico"),CONCATENATE("R",'Mapa final'!$A$58),"")</f>
        <v/>
      </c>
      <c r="BE52" s="267"/>
      <c r="BF52" s="267" t="str">
        <f>IF(AND('Mapa final'!$K$61="Media",'Mapa final'!$O$61="Catastrófico"),CONCATENATE("R",'Mapa final'!$A$61),"")</f>
        <v/>
      </c>
      <c r="BG52" s="286"/>
      <c r="BH52" s="58"/>
      <c r="BI52" s="305"/>
      <c r="BJ52" s="306"/>
      <c r="BK52" s="306"/>
      <c r="BL52" s="306"/>
      <c r="BM52" s="306"/>
      <c r="BN52" s="307"/>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8"/>
      <c r="CM52" s="58"/>
      <c r="CN52" s="58"/>
      <c r="CO52" s="58"/>
      <c r="CP52" s="58"/>
      <c r="CQ52" s="58"/>
      <c r="CR52" s="58"/>
      <c r="CS52" s="58"/>
      <c r="CT52" s="58"/>
      <c r="CU52" s="58"/>
      <c r="CV52" s="58"/>
    </row>
    <row r="53" spans="1:100" ht="15" customHeight="1" thickBot="1" x14ac:dyDescent="0.3">
      <c r="A53" s="58"/>
      <c r="B53" s="356"/>
      <c r="C53" s="356"/>
      <c r="D53" s="357"/>
      <c r="E53" s="331"/>
      <c r="F53" s="332"/>
      <c r="G53" s="332"/>
      <c r="H53" s="332"/>
      <c r="I53" s="333"/>
      <c r="J53" s="272"/>
      <c r="K53" s="270"/>
      <c r="L53" s="270"/>
      <c r="M53" s="270"/>
      <c r="N53" s="270"/>
      <c r="O53" s="270"/>
      <c r="P53" s="270"/>
      <c r="Q53" s="270"/>
      <c r="R53" s="270"/>
      <c r="S53" s="271"/>
      <c r="T53" s="272"/>
      <c r="U53" s="270"/>
      <c r="V53" s="270"/>
      <c r="W53" s="270"/>
      <c r="X53" s="270"/>
      <c r="Y53" s="270"/>
      <c r="Z53" s="270"/>
      <c r="AA53" s="270"/>
      <c r="AB53" s="270"/>
      <c r="AC53" s="271"/>
      <c r="AD53" s="272"/>
      <c r="AE53" s="270"/>
      <c r="AF53" s="270"/>
      <c r="AG53" s="270"/>
      <c r="AH53" s="270"/>
      <c r="AI53" s="270"/>
      <c r="AJ53" s="270"/>
      <c r="AK53" s="270"/>
      <c r="AL53" s="270"/>
      <c r="AM53" s="271"/>
      <c r="AN53" s="275"/>
      <c r="AO53" s="273"/>
      <c r="AP53" s="273"/>
      <c r="AQ53" s="273"/>
      <c r="AR53" s="273"/>
      <c r="AS53" s="273"/>
      <c r="AT53" s="273"/>
      <c r="AU53" s="273"/>
      <c r="AV53" s="273"/>
      <c r="AW53" s="273"/>
      <c r="AX53" s="285"/>
      <c r="AY53" s="267"/>
      <c r="AZ53" s="267"/>
      <c r="BA53" s="267"/>
      <c r="BB53" s="267"/>
      <c r="BC53" s="267"/>
      <c r="BD53" s="267"/>
      <c r="BE53" s="267"/>
      <c r="BF53" s="267"/>
      <c r="BG53" s="286"/>
      <c r="BH53" s="58"/>
      <c r="BI53" s="308"/>
      <c r="BJ53" s="309"/>
      <c r="BK53" s="309"/>
      <c r="BL53" s="309"/>
      <c r="BM53" s="309"/>
      <c r="BN53" s="310"/>
      <c r="BO53" s="58"/>
      <c r="BP53" s="58"/>
      <c r="BQ53" s="58"/>
      <c r="BR53" s="58"/>
      <c r="BS53" s="58"/>
      <c r="BT53" s="58"/>
      <c r="BU53" s="58"/>
      <c r="BV53" s="58"/>
      <c r="BW53" s="58"/>
      <c r="BX53" s="58"/>
      <c r="BY53" s="58"/>
      <c r="BZ53" s="58"/>
      <c r="CA53" s="58"/>
      <c r="CB53" s="58"/>
      <c r="CC53" s="58"/>
      <c r="CD53" s="58"/>
      <c r="CE53" s="58"/>
      <c r="CF53" s="58"/>
      <c r="CG53" s="58"/>
      <c r="CH53" s="58"/>
      <c r="CI53" s="58"/>
      <c r="CJ53" s="58"/>
      <c r="CK53" s="58"/>
      <c r="CL53" s="58"/>
      <c r="CM53" s="58"/>
      <c r="CN53" s="58"/>
      <c r="CO53" s="58"/>
      <c r="CP53" s="58"/>
      <c r="CQ53" s="58"/>
      <c r="CR53" s="58"/>
      <c r="CS53" s="58"/>
      <c r="CT53" s="58"/>
      <c r="CU53" s="58"/>
      <c r="CV53" s="58"/>
    </row>
    <row r="54" spans="1:100" ht="15" customHeight="1" x14ac:dyDescent="0.25">
      <c r="A54" s="58"/>
      <c r="B54" s="356"/>
      <c r="C54" s="356"/>
      <c r="D54" s="357"/>
      <c r="E54" s="331"/>
      <c r="F54" s="332"/>
      <c r="G54" s="332"/>
      <c r="H54" s="332"/>
      <c r="I54" s="333"/>
      <c r="J54" s="272" t="str">
        <f>IF(AND('Mapa final'!$K$64="Media",'Mapa final'!$O$64="Leve"),CONCATENATE("R",'Mapa final'!$A$64),"")</f>
        <v/>
      </c>
      <c r="K54" s="270"/>
      <c r="L54" s="270" t="str">
        <f>IF(AND('Mapa final'!$K$67="Media",'Mapa final'!$O$67="Leve"),CONCATENATE("R",'Mapa final'!$A$67),"")</f>
        <v/>
      </c>
      <c r="M54" s="270"/>
      <c r="N54" s="270" t="str">
        <f>IF(AND('Mapa final'!$K$70="Media",'Mapa final'!$O$70="Leve"),CONCATENATE("R",'Mapa final'!$A$70),"")</f>
        <v/>
      </c>
      <c r="O54" s="270"/>
      <c r="P54" s="270" t="str">
        <f>IF(AND('Mapa final'!$K$73="Media",'Mapa final'!$O$73="Leve"),CONCATENATE("R",'Mapa final'!$A$73),"")</f>
        <v/>
      </c>
      <c r="Q54" s="270"/>
      <c r="R54" s="270" t="str">
        <f>IF(AND('Mapa final'!$K$76="Media",'Mapa final'!$O$76="Leve"),CONCATENATE("R",'Mapa final'!$A$76),"")</f>
        <v/>
      </c>
      <c r="S54" s="271"/>
      <c r="T54" s="272" t="str">
        <f>IF(AND('Mapa final'!$K$64="Media",'Mapa final'!$O$64="Menor"),CONCATENATE("R",'Mapa final'!$A$64),"")</f>
        <v/>
      </c>
      <c r="U54" s="270"/>
      <c r="V54" s="270" t="str">
        <f>IF(AND('Mapa final'!$K$67="Media",'Mapa final'!$O$67="Menor"),CONCATENATE("R",'Mapa final'!$A$67),"")</f>
        <v/>
      </c>
      <c r="W54" s="270"/>
      <c r="X54" s="270" t="str">
        <f>IF(AND('Mapa final'!$K$70="Media",'Mapa final'!$O$70="Menor"),CONCATENATE("R",'Mapa final'!$A$70),"")</f>
        <v/>
      </c>
      <c r="Y54" s="270"/>
      <c r="Z54" s="270" t="str">
        <f>IF(AND('Mapa final'!$K$73="Media",'Mapa final'!$O$73="Menor"),CONCATENATE("R",'Mapa final'!$A$73),"")</f>
        <v/>
      </c>
      <c r="AA54" s="270"/>
      <c r="AB54" s="270" t="str">
        <f>IF(AND('Mapa final'!$K$76="Media",'Mapa final'!$O$76="Menor"),CONCATENATE("R",'Mapa final'!$A$76),"")</f>
        <v/>
      </c>
      <c r="AC54" s="271"/>
      <c r="AD54" s="272" t="str">
        <f>IF(AND('Mapa final'!$K$64="Media",'Mapa final'!$O$64="Moderado"),CONCATENATE("R",'Mapa final'!$A$64),"")</f>
        <v/>
      </c>
      <c r="AE54" s="270"/>
      <c r="AF54" s="270" t="str">
        <f>IF(AND('Mapa final'!$K$67="Media",'Mapa final'!$O$67="Moderado"),CONCATENATE("R",'Mapa final'!$A$67),"")</f>
        <v/>
      </c>
      <c r="AG54" s="270"/>
      <c r="AH54" s="270" t="str">
        <f>IF(AND('Mapa final'!$K$70="Media",'Mapa final'!$O$70="Moderado"),CONCATENATE("R",'Mapa final'!$A$70),"")</f>
        <v/>
      </c>
      <c r="AI54" s="270"/>
      <c r="AJ54" s="270" t="str">
        <f>IF(AND('Mapa final'!$K$73="Media",'Mapa final'!$O$73="Moderado"),CONCATENATE("R",'Mapa final'!$A$73),"")</f>
        <v/>
      </c>
      <c r="AK54" s="270"/>
      <c r="AL54" s="270" t="str">
        <f>IF(AND('Mapa final'!$K$76="Media",'Mapa final'!$O$76="Moderado"),CONCATENATE("R",'Mapa final'!$A$76),"")</f>
        <v/>
      </c>
      <c r="AM54" s="271"/>
      <c r="AN54" s="275" t="str">
        <f>IF(AND('Mapa final'!$K$64="Media",'Mapa final'!$O$64="Mayor"),CONCATENATE("R",'Mapa final'!$A$64),"")</f>
        <v>R20</v>
      </c>
      <c r="AO54" s="273"/>
      <c r="AP54" s="273" t="str">
        <f>IF(AND('Mapa final'!$K$67="Media",'Mapa final'!$O$67="Mayor"),CONCATENATE("R",'Mapa final'!$A$67),"")</f>
        <v/>
      </c>
      <c r="AQ54" s="273"/>
      <c r="AR54" s="273" t="str">
        <f>IF(AND('Mapa final'!$K$70="Media",'Mapa final'!$O$70="Mayor"),CONCATENATE("R",'Mapa final'!$A$70),"")</f>
        <v/>
      </c>
      <c r="AS54" s="273"/>
      <c r="AT54" s="273" t="str">
        <f>IF(AND('Mapa final'!$K$73="Media",'Mapa final'!$O$73="Mayor"),CONCATENATE("R",'Mapa final'!$A$73),"")</f>
        <v>R23</v>
      </c>
      <c r="AU54" s="273"/>
      <c r="AV54" s="273" t="str">
        <f>IF(AND('Mapa final'!$K$76="Media",'Mapa final'!$O$76="Mayor"),CONCATENATE("R",'Mapa final'!$A$76),"")</f>
        <v/>
      </c>
      <c r="AW54" s="273"/>
      <c r="AX54" s="285" t="str">
        <f>IF(AND('Mapa final'!$K$64="Media",'Mapa final'!$O$64="Catastrófico"),CONCATENATE("R",'Mapa final'!$A$64),"")</f>
        <v/>
      </c>
      <c r="AY54" s="267"/>
      <c r="AZ54" s="267" t="str">
        <f>IF(AND('Mapa final'!$K$67="Media",'Mapa final'!$O$67="Catastrófico"),CONCATENATE("R",'Mapa final'!$A$67),"")</f>
        <v/>
      </c>
      <c r="BA54" s="267"/>
      <c r="BB54" s="267" t="str">
        <f>IF(AND('Mapa final'!$K$70="Media",'Mapa final'!$O$70="Catastrófico"),CONCATENATE("R",'Mapa final'!$A$70),"")</f>
        <v/>
      </c>
      <c r="BC54" s="267"/>
      <c r="BD54" s="267" t="str">
        <f>IF(AND('Mapa final'!$K$73="Media",'Mapa final'!$O$73="Catastrófico"),CONCATENATE("R",'Mapa final'!$A$73),"")</f>
        <v/>
      </c>
      <c r="BE54" s="267"/>
      <c r="BF54" s="267" t="str">
        <f>IF(AND('Mapa final'!$K$76="Media",'Mapa final'!$O$76="Catastrófico"),CONCATENATE("R",'Mapa final'!$A$76),"")</f>
        <v/>
      </c>
      <c r="BG54" s="286"/>
      <c r="BH54" s="58"/>
      <c r="BI54" s="311" t="s">
        <v>75</v>
      </c>
      <c r="BJ54" s="312"/>
      <c r="BK54" s="312"/>
      <c r="BL54" s="312"/>
      <c r="BM54" s="312"/>
      <c r="BN54" s="313"/>
      <c r="BO54" s="58"/>
      <c r="BP54" s="58"/>
      <c r="BQ54" s="58"/>
      <c r="BR54" s="58"/>
      <c r="BS54" s="58"/>
      <c r="BT54" s="58"/>
      <c r="BU54" s="58"/>
      <c r="BV54" s="58"/>
      <c r="BW54" s="58"/>
      <c r="BX54" s="58"/>
      <c r="BY54" s="58"/>
      <c r="BZ54" s="58"/>
      <c r="CA54" s="58"/>
      <c r="CB54" s="58"/>
      <c r="CC54" s="58"/>
      <c r="CD54" s="58"/>
      <c r="CE54" s="58"/>
      <c r="CF54" s="58"/>
      <c r="CG54" s="58"/>
      <c r="CH54" s="58"/>
      <c r="CI54" s="58"/>
      <c r="CJ54" s="58"/>
      <c r="CK54" s="58"/>
      <c r="CL54" s="58"/>
      <c r="CM54" s="58"/>
      <c r="CN54" s="58"/>
      <c r="CO54" s="58"/>
      <c r="CP54" s="58"/>
      <c r="CQ54" s="58"/>
      <c r="CR54" s="58"/>
      <c r="CS54" s="58"/>
      <c r="CT54" s="58"/>
      <c r="CU54" s="58"/>
      <c r="CV54" s="58"/>
    </row>
    <row r="55" spans="1:100" ht="15" customHeight="1" x14ac:dyDescent="0.25">
      <c r="A55" s="58"/>
      <c r="B55" s="356"/>
      <c r="C55" s="356"/>
      <c r="D55" s="357"/>
      <c r="E55" s="331"/>
      <c r="F55" s="332"/>
      <c r="G55" s="332"/>
      <c r="H55" s="332"/>
      <c r="I55" s="333"/>
      <c r="J55" s="272"/>
      <c r="K55" s="270"/>
      <c r="L55" s="270"/>
      <c r="M55" s="270"/>
      <c r="N55" s="270"/>
      <c r="O55" s="270"/>
      <c r="P55" s="270"/>
      <c r="Q55" s="270"/>
      <c r="R55" s="270"/>
      <c r="S55" s="271"/>
      <c r="T55" s="272"/>
      <c r="U55" s="270"/>
      <c r="V55" s="270"/>
      <c r="W55" s="270"/>
      <c r="X55" s="270"/>
      <c r="Y55" s="270"/>
      <c r="Z55" s="270"/>
      <c r="AA55" s="270"/>
      <c r="AB55" s="270"/>
      <c r="AC55" s="271"/>
      <c r="AD55" s="272"/>
      <c r="AE55" s="270"/>
      <c r="AF55" s="270"/>
      <c r="AG55" s="270"/>
      <c r="AH55" s="270"/>
      <c r="AI55" s="270"/>
      <c r="AJ55" s="270"/>
      <c r="AK55" s="270"/>
      <c r="AL55" s="270"/>
      <c r="AM55" s="271"/>
      <c r="AN55" s="275"/>
      <c r="AO55" s="273"/>
      <c r="AP55" s="273"/>
      <c r="AQ55" s="273"/>
      <c r="AR55" s="273"/>
      <c r="AS55" s="273"/>
      <c r="AT55" s="273"/>
      <c r="AU55" s="273"/>
      <c r="AV55" s="273"/>
      <c r="AW55" s="273"/>
      <c r="AX55" s="285"/>
      <c r="AY55" s="267"/>
      <c r="AZ55" s="267"/>
      <c r="BA55" s="267"/>
      <c r="BB55" s="267"/>
      <c r="BC55" s="267"/>
      <c r="BD55" s="267"/>
      <c r="BE55" s="267"/>
      <c r="BF55" s="267"/>
      <c r="BG55" s="286"/>
      <c r="BH55" s="58"/>
      <c r="BI55" s="314"/>
      <c r="BJ55" s="315"/>
      <c r="BK55" s="315"/>
      <c r="BL55" s="315"/>
      <c r="BM55" s="315"/>
      <c r="BN55" s="316"/>
      <c r="BO55" s="58"/>
      <c r="BP55" s="58"/>
      <c r="BQ55" s="58"/>
      <c r="BR55" s="58"/>
      <c r="BS55" s="58"/>
      <c r="BT55" s="58"/>
      <c r="BU55" s="58"/>
      <c r="BV55" s="58"/>
      <c r="BW55" s="58"/>
      <c r="BX55" s="58"/>
      <c r="BY55" s="58"/>
      <c r="BZ55" s="58"/>
      <c r="CA55" s="58"/>
      <c r="CB55" s="58"/>
      <c r="CC55" s="58"/>
      <c r="CD55" s="58"/>
      <c r="CE55" s="58"/>
      <c r="CF55" s="58"/>
      <c r="CG55" s="58"/>
      <c r="CH55" s="58"/>
      <c r="CI55" s="58"/>
      <c r="CJ55" s="58"/>
      <c r="CK55" s="58"/>
      <c r="CL55" s="58"/>
      <c r="CM55" s="58"/>
      <c r="CN55" s="58"/>
      <c r="CO55" s="58"/>
      <c r="CP55" s="58"/>
      <c r="CQ55" s="58"/>
      <c r="CR55" s="58"/>
      <c r="CS55" s="58"/>
      <c r="CT55" s="58"/>
      <c r="CU55" s="58"/>
      <c r="CV55" s="58"/>
    </row>
    <row r="56" spans="1:100" ht="15" customHeight="1" x14ac:dyDescent="0.25">
      <c r="A56" s="58"/>
      <c r="B56" s="356"/>
      <c r="C56" s="356"/>
      <c r="D56" s="357"/>
      <c r="E56" s="331"/>
      <c r="F56" s="332"/>
      <c r="G56" s="332"/>
      <c r="H56" s="332"/>
      <c r="I56" s="333"/>
      <c r="J56" s="272" t="str">
        <f>IF(AND('Mapa final'!$K$79="Media",'Mapa final'!$O$79="Leve"),CONCATENATE("R",'Mapa final'!$A$79),"")</f>
        <v/>
      </c>
      <c r="K56" s="270"/>
      <c r="L56" s="270" t="str">
        <f>IF(AND('Mapa final'!$K$82="Media",'Mapa final'!$O$82="Leve"),CONCATENATE("R",'Mapa final'!$A$82),"")</f>
        <v/>
      </c>
      <c r="M56" s="270"/>
      <c r="N56" s="270" t="str">
        <f>IF(AND('Mapa final'!$K$85="Media",'Mapa final'!$O$85="Leve"),CONCATENATE("R",'Mapa final'!$A$85),"")</f>
        <v/>
      </c>
      <c r="O56" s="270"/>
      <c r="P56" s="270" t="str">
        <f>IF(AND('Mapa final'!$K$88="Media",'Mapa final'!$O$88="Leve"),CONCATENATE("R",'Mapa final'!$A$88),"")</f>
        <v/>
      </c>
      <c r="Q56" s="270"/>
      <c r="R56" s="270" t="str">
        <f>IF(AND('Mapa final'!$K$91="Media",'Mapa final'!$O$91="Leve"),CONCATENATE("R",'Mapa final'!$A$91),"")</f>
        <v/>
      </c>
      <c r="S56" s="271"/>
      <c r="T56" s="272" t="str">
        <f>IF(AND('Mapa final'!$K$79="Media",'Mapa final'!$O$79="Menor"),CONCATENATE("R",'Mapa final'!$A$79),"")</f>
        <v/>
      </c>
      <c r="U56" s="270"/>
      <c r="V56" s="270" t="str">
        <f>IF(AND('Mapa final'!$K$82="Media",'Mapa final'!$O$82="Menor"),CONCATENATE("R",'Mapa final'!$A$82),"")</f>
        <v/>
      </c>
      <c r="W56" s="270"/>
      <c r="X56" s="270" t="str">
        <f>IF(AND('Mapa final'!$K$85="Media",'Mapa final'!$O$85="Menor"),CONCATENATE("R",'Mapa final'!$A$85),"")</f>
        <v/>
      </c>
      <c r="Y56" s="270"/>
      <c r="Z56" s="270" t="str">
        <f>IF(AND('Mapa final'!$K$88="Media",'Mapa final'!$O$88="Menor"),CONCATENATE("R",'Mapa final'!$A$88),"")</f>
        <v/>
      </c>
      <c r="AA56" s="270"/>
      <c r="AB56" s="270" t="str">
        <f>IF(AND('Mapa final'!$K$91="Media",'Mapa final'!$O$91="Menor"),CONCATENATE("R",'Mapa final'!$A$91),"")</f>
        <v/>
      </c>
      <c r="AC56" s="271"/>
      <c r="AD56" s="272" t="str">
        <f>IF(AND('Mapa final'!$K$79="Media",'Mapa final'!$O$79="Moderado"),CONCATENATE("R",'Mapa final'!$A$79),"")</f>
        <v/>
      </c>
      <c r="AE56" s="270"/>
      <c r="AF56" s="270" t="str">
        <f>IF(AND('Mapa final'!$K$82="Media",'Mapa final'!$O$82="Moderado"),CONCATENATE("R",'Mapa final'!$A$82),"")</f>
        <v/>
      </c>
      <c r="AG56" s="270"/>
      <c r="AH56" s="270" t="str">
        <f>IF(AND('Mapa final'!$K$85="Media",'Mapa final'!$O$85="Moderado"),CONCATENATE("R",'Mapa final'!$A$85),"")</f>
        <v/>
      </c>
      <c r="AI56" s="270"/>
      <c r="AJ56" s="270" t="str">
        <f>IF(AND('Mapa final'!$K$88="Media",'Mapa final'!$O$88="Moderado"),CONCATENATE("R",'Mapa final'!$A$88),"")</f>
        <v/>
      </c>
      <c r="AK56" s="270"/>
      <c r="AL56" s="270" t="str">
        <f>IF(AND('Mapa final'!$K$91="Media",'Mapa final'!$O$91="Moderado"),CONCATENATE("R",'Mapa final'!$A$91),"")</f>
        <v/>
      </c>
      <c r="AM56" s="271"/>
      <c r="AN56" s="275" t="str">
        <f>IF(AND('Mapa final'!$K$79="Media",'Mapa final'!$O$79="Mayor"),CONCATENATE("R",'Mapa final'!$A$79),"")</f>
        <v/>
      </c>
      <c r="AO56" s="273"/>
      <c r="AP56" s="273" t="str">
        <f>IF(AND('Mapa final'!$K$82="Media",'Mapa final'!$O$82="Mayor"),CONCATENATE("R",'Mapa final'!$A$82),"")</f>
        <v>R26</v>
      </c>
      <c r="AQ56" s="273"/>
      <c r="AR56" s="273" t="str">
        <f>IF(AND('Mapa final'!$K$85="Media",'Mapa final'!$O$85="Mayor"),CONCATENATE("R",'Mapa final'!$A$85),"")</f>
        <v>R27</v>
      </c>
      <c r="AS56" s="273"/>
      <c r="AT56" s="273" t="str">
        <f>IF(AND('Mapa final'!$K$88="Media",'Mapa final'!$O$88="Mayor"),CONCATENATE("R",'Mapa final'!$A$88),"")</f>
        <v>R28</v>
      </c>
      <c r="AU56" s="273"/>
      <c r="AV56" s="273" t="str">
        <f>IF(AND('Mapa final'!$K$91="Media",'Mapa final'!$O$91="Mayor"),CONCATENATE("R",'Mapa final'!$A$91),"")</f>
        <v/>
      </c>
      <c r="AW56" s="273"/>
      <c r="AX56" s="285" t="str">
        <f>IF(AND('Mapa final'!$K$79="Media",'Mapa final'!$O$79="Catastrófico"),CONCATENATE("R",'Mapa final'!$A$79),"")</f>
        <v/>
      </c>
      <c r="AY56" s="267"/>
      <c r="AZ56" s="267" t="str">
        <f>IF(AND('Mapa final'!$K$82="Media",'Mapa final'!$O$82="Catastrófico"),CONCATENATE("R",'Mapa final'!$A$82),"")</f>
        <v/>
      </c>
      <c r="BA56" s="267"/>
      <c r="BB56" s="267" t="str">
        <f>IF(AND('Mapa final'!$K$85="Media",'Mapa final'!$O$85="Catastrófico"),CONCATENATE("R",'Mapa final'!$A$85),"")</f>
        <v/>
      </c>
      <c r="BC56" s="267"/>
      <c r="BD56" s="267" t="str">
        <f>IF(AND('Mapa final'!$K$88="Media",'Mapa final'!$O$88="Catastrófico"),CONCATENATE("R",'Mapa final'!$A$88),"")</f>
        <v/>
      </c>
      <c r="BE56" s="267"/>
      <c r="BF56" s="267" t="str">
        <f>IF(AND('Mapa final'!$K$91="Media",'Mapa final'!$O$91="Catastrófico"),CONCATENATE("R",'Mapa final'!$A$91),"")</f>
        <v/>
      </c>
      <c r="BG56" s="286"/>
      <c r="BH56" s="58"/>
      <c r="BI56" s="314"/>
      <c r="BJ56" s="315"/>
      <c r="BK56" s="315"/>
      <c r="BL56" s="315"/>
      <c r="BM56" s="315"/>
      <c r="BN56" s="316"/>
      <c r="BO56" s="58"/>
      <c r="BP56" s="58"/>
      <c r="BQ56" s="58"/>
      <c r="BR56" s="58"/>
      <c r="BS56" s="58"/>
      <c r="BT56" s="58"/>
      <c r="BU56" s="58"/>
      <c r="BV56" s="58"/>
      <c r="BW56" s="58"/>
      <c r="BX56" s="58"/>
      <c r="BY56" s="58"/>
      <c r="BZ56" s="58"/>
      <c r="CA56" s="58"/>
      <c r="CB56" s="58"/>
      <c r="CC56" s="58"/>
      <c r="CD56" s="58"/>
      <c r="CE56" s="58"/>
      <c r="CF56" s="58"/>
      <c r="CG56" s="58"/>
      <c r="CH56" s="58"/>
      <c r="CI56" s="58"/>
      <c r="CJ56" s="58"/>
      <c r="CK56" s="58"/>
      <c r="CL56" s="58"/>
      <c r="CM56" s="58"/>
      <c r="CN56" s="58"/>
      <c r="CO56" s="58"/>
      <c r="CP56" s="58"/>
      <c r="CQ56" s="58"/>
      <c r="CR56" s="58"/>
      <c r="CS56" s="58"/>
      <c r="CT56" s="58"/>
      <c r="CU56" s="58"/>
      <c r="CV56" s="58"/>
    </row>
    <row r="57" spans="1:100" ht="15" customHeight="1" x14ac:dyDescent="0.25">
      <c r="A57" s="58"/>
      <c r="B57" s="356"/>
      <c r="C57" s="356"/>
      <c r="D57" s="357"/>
      <c r="E57" s="331"/>
      <c r="F57" s="332"/>
      <c r="G57" s="332"/>
      <c r="H57" s="332"/>
      <c r="I57" s="333"/>
      <c r="J57" s="272"/>
      <c r="K57" s="270"/>
      <c r="L57" s="270"/>
      <c r="M57" s="270"/>
      <c r="N57" s="270"/>
      <c r="O57" s="270"/>
      <c r="P57" s="270"/>
      <c r="Q57" s="270"/>
      <c r="R57" s="270"/>
      <c r="S57" s="271"/>
      <c r="T57" s="272"/>
      <c r="U57" s="270"/>
      <c r="V57" s="270"/>
      <c r="W57" s="270"/>
      <c r="X57" s="270"/>
      <c r="Y57" s="270"/>
      <c r="Z57" s="270"/>
      <c r="AA57" s="270"/>
      <c r="AB57" s="270"/>
      <c r="AC57" s="271"/>
      <c r="AD57" s="272"/>
      <c r="AE57" s="270"/>
      <c r="AF57" s="270"/>
      <c r="AG57" s="270"/>
      <c r="AH57" s="270"/>
      <c r="AI57" s="270"/>
      <c r="AJ57" s="270"/>
      <c r="AK57" s="270"/>
      <c r="AL57" s="270"/>
      <c r="AM57" s="271"/>
      <c r="AN57" s="275"/>
      <c r="AO57" s="273"/>
      <c r="AP57" s="273"/>
      <c r="AQ57" s="273"/>
      <c r="AR57" s="273"/>
      <c r="AS57" s="273"/>
      <c r="AT57" s="273"/>
      <c r="AU57" s="273"/>
      <c r="AV57" s="273"/>
      <c r="AW57" s="273"/>
      <c r="AX57" s="285"/>
      <c r="AY57" s="267"/>
      <c r="AZ57" s="267"/>
      <c r="BA57" s="267"/>
      <c r="BB57" s="267"/>
      <c r="BC57" s="267"/>
      <c r="BD57" s="267"/>
      <c r="BE57" s="267"/>
      <c r="BF57" s="267"/>
      <c r="BG57" s="286"/>
      <c r="BH57" s="58"/>
      <c r="BI57" s="314"/>
      <c r="BJ57" s="315"/>
      <c r="BK57" s="315"/>
      <c r="BL57" s="315"/>
      <c r="BM57" s="315"/>
      <c r="BN57" s="316"/>
      <c r="BO57" s="58"/>
      <c r="BP57" s="58"/>
      <c r="BQ57" s="58"/>
      <c r="BR57" s="58"/>
      <c r="BS57" s="58"/>
      <c r="BT57" s="58"/>
      <c r="BU57" s="58"/>
      <c r="BV57" s="58"/>
      <c r="BW57" s="58"/>
      <c r="BX57" s="58"/>
      <c r="BY57" s="58"/>
      <c r="BZ57" s="58"/>
      <c r="CA57" s="58"/>
      <c r="CB57" s="58"/>
      <c r="CC57" s="58"/>
      <c r="CD57" s="58"/>
      <c r="CE57" s="58"/>
      <c r="CF57" s="58"/>
      <c r="CG57" s="58"/>
      <c r="CH57" s="58"/>
      <c r="CI57" s="58"/>
      <c r="CJ57" s="58"/>
      <c r="CK57" s="58"/>
      <c r="CL57" s="58"/>
      <c r="CM57" s="58"/>
      <c r="CN57" s="58"/>
      <c r="CO57" s="58"/>
      <c r="CP57" s="58"/>
      <c r="CQ57" s="58"/>
      <c r="CR57" s="58"/>
      <c r="CS57" s="58"/>
      <c r="CT57" s="58"/>
      <c r="CU57" s="58"/>
      <c r="CV57" s="58"/>
    </row>
    <row r="58" spans="1:100" ht="15" customHeight="1" x14ac:dyDescent="0.25">
      <c r="A58" s="58"/>
      <c r="B58" s="356"/>
      <c r="C58" s="356"/>
      <c r="D58" s="357"/>
      <c r="E58" s="331"/>
      <c r="F58" s="332"/>
      <c r="G58" s="332"/>
      <c r="H58" s="332"/>
      <c r="I58" s="333"/>
      <c r="J58" s="272" t="str">
        <f>IF(AND('Mapa final'!$K$94="Media",'Mapa final'!$O$94="Leve"),CONCATENATE("R",'Mapa final'!$A$94),"")</f>
        <v/>
      </c>
      <c r="K58" s="270"/>
      <c r="L58" s="270" t="str">
        <f>IF(AND('Mapa final'!$K$97="Media",'Mapa final'!$O$97="Leve"),CONCATENATE("R",'Mapa final'!$A$97),"")</f>
        <v/>
      </c>
      <c r="M58" s="270"/>
      <c r="N58" s="270" t="str">
        <f>IF(AND('Mapa final'!$K$100="Media",'Mapa final'!$O$100="Leve"),CONCATENATE("R",'Mapa final'!$A$100),"")</f>
        <v/>
      </c>
      <c r="O58" s="270"/>
      <c r="P58" s="270" t="str">
        <f>IF(AND('Mapa final'!$K$103="Media",'Mapa final'!$O$103="Leve"),CONCATENATE("R",'Mapa final'!$A$103),"")</f>
        <v/>
      </c>
      <c r="Q58" s="270"/>
      <c r="R58" s="270" t="str">
        <f>IF(AND('Mapa final'!$K$106="Media",'Mapa final'!$O$106="Leve"),CONCATENATE("R",'Mapa final'!$A$106),"")</f>
        <v/>
      </c>
      <c r="S58" s="271"/>
      <c r="T58" s="272" t="str">
        <f>IF(AND('Mapa final'!$K$94="Media",'Mapa final'!$O$94="Menor"),CONCATENATE("R",'Mapa final'!$A$94),"")</f>
        <v/>
      </c>
      <c r="U58" s="270"/>
      <c r="V58" s="270" t="str">
        <f>IF(AND('Mapa final'!$K$97="Media",'Mapa final'!$O$97="Menor"),CONCATENATE("R",'Mapa final'!$A$97),"")</f>
        <v/>
      </c>
      <c r="W58" s="270"/>
      <c r="X58" s="270" t="str">
        <f>IF(AND('Mapa final'!$K$100="Media",'Mapa final'!$O$100="Menor"),CONCATENATE("R",'Mapa final'!$A$100),"")</f>
        <v/>
      </c>
      <c r="Y58" s="270"/>
      <c r="Z58" s="270" t="str">
        <f>IF(AND('Mapa final'!$K$103="Media",'Mapa final'!$O$103="Menor"),CONCATENATE("R",'Mapa final'!$A$103),"")</f>
        <v/>
      </c>
      <c r="AA58" s="270"/>
      <c r="AB58" s="270" t="str">
        <f>IF(AND('Mapa final'!$K$106="Media",'Mapa final'!$O$106="Menor"),CONCATENATE("R",'Mapa final'!$A$106),"")</f>
        <v/>
      </c>
      <c r="AC58" s="271"/>
      <c r="AD58" s="272" t="str">
        <f>IF(AND('Mapa final'!$K$94="Media",'Mapa final'!$O$94="Moderado"),CONCATENATE("R",'Mapa final'!$A$94),"")</f>
        <v/>
      </c>
      <c r="AE58" s="270"/>
      <c r="AF58" s="270" t="str">
        <f>IF(AND('Mapa final'!$K$97="Media",'Mapa final'!$O$97="Moderado"),CONCATENATE("R",'Mapa final'!$A$97),"")</f>
        <v/>
      </c>
      <c r="AG58" s="270"/>
      <c r="AH58" s="270" t="str">
        <f>IF(AND('Mapa final'!$K$100="Media",'Mapa final'!$O$100="Moderado"),CONCATENATE("R",'Mapa final'!$A$100),"")</f>
        <v>R32</v>
      </c>
      <c r="AI58" s="270"/>
      <c r="AJ58" s="270" t="str">
        <f>IF(AND('Mapa final'!$K$103="Media",'Mapa final'!$O$103="Moderado"),CONCATENATE("R",'Mapa final'!$A$103),"")</f>
        <v>R33</v>
      </c>
      <c r="AK58" s="270"/>
      <c r="AL58" s="270" t="str">
        <f>IF(AND('Mapa final'!$K$106="Media",'Mapa final'!$O$106="Moderado"),CONCATENATE("R",'Mapa final'!$A$106),"")</f>
        <v/>
      </c>
      <c r="AM58" s="271"/>
      <c r="AN58" s="275" t="str">
        <f>IF(AND('Mapa final'!$K$94="Media",'Mapa final'!$O$94="Mayor"),CONCATENATE("R",'Mapa final'!$A$94),"")</f>
        <v/>
      </c>
      <c r="AO58" s="273"/>
      <c r="AP58" s="273" t="str">
        <f>IF(AND('Mapa final'!$K$97="Media",'Mapa final'!$O$97="Mayor"),CONCATENATE("R",'Mapa final'!$A$97),"")</f>
        <v/>
      </c>
      <c r="AQ58" s="273"/>
      <c r="AR58" s="273" t="str">
        <f>IF(AND('Mapa final'!$K$100="Media",'Mapa final'!$O$100="Mayor"),CONCATENATE("R",'Mapa final'!$A$100),"")</f>
        <v/>
      </c>
      <c r="AS58" s="273"/>
      <c r="AT58" s="273" t="str">
        <f>IF(AND('Mapa final'!$K$103="Media",'Mapa final'!$O$103="Mayor"),CONCATENATE("R",'Mapa final'!$A$103),"")</f>
        <v/>
      </c>
      <c r="AU58" s="273"/>
      <c r="AV58" s="273" t="str">
        <f>IF(AND('Mapa final'!$K$106="Media",'Mapa final'!$O$106="Mayor"),CONCATENATE("R",'Mapa final'!$A$106),"")</f>
        <v>R34</v>
      </c>
      <c r="AW58" s="273"/>
      <c r="AX58" s="285" t="str">
        <f>IF(AND('Mapa final'!$K$94="Media",'Mapa final'!$O$94="Catastrófico"),CONCATENATE("R",'Mapa final'!$A$94),"")</f>
        <v/>
      </c>
      <c r="AY58" s="267"/>
      <c r="AZ58" s="267" t="str">
        <f>IF(AND('Mapa final'!$K$97="Media",'Mapa final'!$O$97="Catastrófico"),CONCATENATE("R",'Mapa final'!$A$97),"")</f>
        <v/>
      </c>
      <c r="BA58" s="267"/>
      <c r="BB58" s="267" t="str">
        <f>IF(AND('Mapa final'!$K$100="Media",'Mapa final'!$O$100="Catastrófico"),CONCATENATE("R",'Mapa final'!$A$100),"")</f>
        <v/>
      </c>
      <c r="BC58" s="267"/>
      <c r="BD58" s="267" t="str">
        <f>IF(AND('Mapa final'!$K$103="Media",'Mapa final'!$O$103="Catastrófico"),CONCATENATE("R",'Mapa final'!$A$103),"")</f>
        <v/>
      </c>
      <c r="BE58" s="267"/>
      <c r="BF58" s="267" t="str">
        <f>IF(AND('Mapa final'!$K$106="Media",'Mapa final'!$O$106="Catastrófico"),CONCATENATE("R",'Mapa final'!$A$106),"")</f>
        <v/>
      </c>
      <c r="BG58" s="286"/>
      <c r="BH58" s="58"/>
      <c r="BI58" s="314"/>
      <c r="BJ58" s="315"/>
      <c r="BK58" s="315"/>
      <c r="BL58" s="315"/>
      <c r="BM58" s="315"/>
      <c r="BN58" s="316"/>
      <c r="BO58" s="58"/>
      <c r="BP58" s="58"/>
      <c r="BQ58" s="58"/>
      <c r="BR58" s="58"/>
      <c r="BS58" s="58"/>
      <c r="BT58" s="58"/>
      <c r="BU58" s="58"/>
      <c r="BV58" s="58"/>
      <c r="BW58" s="58"/>
      <c r="BX58" s="58"/>
      <c r="BY58" s="58"/>
      <c r="BZ58" s="58"/>
      <c r="CA58" s="58"/>
      <c r="CB58" s="58"/>
      <c r="CC58" s="58"/>
      <c r="CD58" s="58"/>
      <c r="CE58" s="58"/>
      <c r="CF58" s="58"/>
      <c r="CG58" s="58"/>
      <c r="CH58" s="58"/>
      <c r="CI58" s="58"/>
      <c r="CJ58" s="58"/>
      <c r="CK58" s="58"/>
      <c r="CL58" s="58"/>
      <c r="CM58" s="58"/>
      <c r="CN58" s="58"/>
      <c r="CO58" s="58"/>
      <c r="CP58" s="58"/>
      <c r="CQ58" s="58"/>
      <c r="CR58" s="58"/>
      <c r="CS58" s="58"/>
      <c r="CT58" s="58"/>
      <c r="CU58" s="58"/>
      <c r="CV58" s="58"/>
    </row>
    <row r="59" spans="1:100" ht="15" customHeight="1" x14ac:dyDescent="0.25">
      <c r="A59" s="58"/>
      <c r="B59" s="356"/>
      <c r="C59" s="356"/>
      <c r="D59" s="357"/>
      <c r="E59" s="331"/>
      <c r="F59" s="332"/>
      <c r="G59" s="332"/>
      <c r="H59" s="332"/>
      <c r="I59" s="333"/>
      <c r="J59" s="272"/>
      <c r="K59" s="270"/>
      <c r="L59" s="270"/>
      <c r="M59" s="270"/>
      <c r="N59" s="270"/>
      <c r="O59" s="270"/>
      <c r="P59" s="270"/>
      <c r="Q59" s="270"/>
      <c r="R59" s="270"/>
      <c r="S59" s="271"/>
      <c r="T59" s="272"/>
      <c r="U59" s="270"/>
      <c r="V59" s="270"/>
      <c r="W59" s="270"/>
      <c r="X59" s="270"/>
      <c r="Y59" s="270"/>
      <c r="Z59" s="270"/>
      <c r="AA59" s="270"/>
      <c r="AB59" s="270"/>
      <c r="AC59" s="271"/>
      <c r="AD59" s="272"/>
      <c r="AE59" s="270"/>
      <c r="AF59" s="270"/>
      <c r="AG59" s="270"/>
      <c r="AH59" s="270"/>
      <c r="AI59" s="270"/>
      <c r="AJ59" s="270"/>
      <c r="AK59" s="270"/>
      <c r="AL59" s="270"/>
      <c r="AM59" s="271"/>
      <c r="AN59" s="275"/>
      <c r="AO59" s="273"/>
      <c r="AP59" s="273"/>
      <c r="AQ59" s="273"/>
      <c r="AR59" s="273"/>
      <c r="AS59" s="273"/>
      <c r="AT59" s="273"/>
      <c r="AU59" s="273"/>
      <c r="AV59" s="273"/>
      <c r="AW59" s="273"/>
      <c r="AX59" s="285"/>
      <c r="AY59" s="267"/>
      <c r="AZ59" s="267"/>
      <c r="BA59" s="267"/>
      <c r="BB59" s="267"/>
      <c r="BC59" s="267"/>
      <c r="BD59" s="267"/>
      <c r="BE59" s="267"/>
      <c r="BF59" s="267"/>
      <c r="BG59" s="286"/>
      <c r="BH59" s="58"/>
      <c r="BI59" s="314"/>
      <c r="BJ59" s="315"/>
      <c r="BK59" s="315"/>
      <c r="BL59" s="315"/>
      <c r="BM59" s="315"/>
      <c r="BN59" s="316"/>
      <c r="BO59" s="58"/>
      <c r="BP59" s="58"/>
      <c r="BQ59" s="58"/>
      <c r="BR59" s="58"/>
      <c r="BS59" s="58"/>
      <c r="BT59" s="58"/>
      <c r="BU59" s="58"/>
      <c r="BV59" s="58"/>
      <c r="BW59" s="58"/>
      <c r="BX59" s="58"/>
      <c r="BY59" s="58"/>
      <c r="BZ59" s="58"/>
      <c r="CA59" s="58"/>
      <c r="CB59" s="58"/>
      <c r="CC59" s="58"/>
      <c r="CD59" s="58"/>
      <c r="CE59" s="58"/>
      <c r="CF59" s="58"/>
      <c r="CG59" s="58"/>
      <c r="CH59" s="58"/>
      <c r="CI59" s="58"/>
      <c r="CJ59" s="58"/>
      <c r="CK59" s="58"/>
      <c r="CL59" s="58"/>
      <c r="CM59" s="58"/>
      <c r="CN59" s="58"/>
      <c r="CO59" s="58"/>
      <c r="CP59" s="58"/>
      <c r="CQ59" s="58"/>
      <c r="CR59" s="58"/>
      <c r="CS59" s="58"/>
      <c r="CT59" s="58"/>
      <c r="CU59" s="58"/>
      <c r="CV59" s="58"/>
    </row>
    <row r="60" spans="1:100" ht="15" customHeight="1" x14ac:dyDescent="0.25">
      <c r="A60" s="58"/>
      <c r="B60" s="356"/>
      <c r="C60" s="356"/>
      <c r="D60" s="357"/>
      <c r="E60" s="331"/>
      <c r="F60" s="332"/>
      <c r="G60" s="332"/>
      <c r="H60" s="332"/>
      <c r="I60" s="333"/>
      <c r="J60" s="272" t="str">
        <f>IF(AND('Mapa final'!$K$109="Media",'Mapa final'!$O$109="Leve"),CONCATENATE("R",'Mapa final'!$A$109),"")</f>
        <v/>
      </c>
      <c r="K60" s="270"/>
      <c r="L60" s="270" t="str">
        <f>IF(AND('Mapa final'!$K$112="Media",'Mapa final'!$O$112="Leve"),CONCATENATE("R",'Mapa final'!$A$112),"")</f>
        <v/>
      </c>
      <c r="M60" s="270"/>
      <c r="N60" s="270" t="str">
        <f>IF(AND('Mapa final'!$K$115="Media",'Mapa final'!$O$115="Leve"),CONCATENATE("R",'Mapa final'!$A$115),"")</f>
        <v/>
      </c>
      <c r="O60" s="270"/>
      <c r="P60" s="270" t="str">
        <f>IF(AND('Mapa final'!$K$118="Media",'Mapa final'!$O$118="Leve"),CONCATENATE("R",'Mapa final'!$A$118),"")</f>
        <v/>
      </c>
      <c r="Q60" s="270"/>
      <c r="R60" s="270" t="str">
        <f>IF(AND('Mapa final'!$K$121="Media",'Mapa final'!$O$121="Leve"),CONCATENATE("R",'Mapa final'!$A$121),"")</f>
        <v/>
      </c>
      <c r="S60" s="271"/>
      <c r="T60" s="272" t="str">
        <f>IF(AND('Mapa final'!$K$109="Media",'Mapa final'!$O$109="Menor"),CONCATENATE("R",'Mapa final'!$A$109),"")</f>
        <v>R35</v>
      </c>
      <c r="U60" s="270"/>
      <c r="V60" s="270" t="str">
        <f>IF(AND('Mapa final'!$K$112="Media",'Mapa final'!$O$112="Menor"),CONCATENATE("R",'Mapa final'!$A$112),"")</f>
        <v/>
      </c>
      <c r="W60" s="270"/>
      <c r="X60" s="270" t="str">
        <f>IF(AND('Mapa final'!$K$115="Media",'Mapa final'!$O$115="Menor"),CONCATENATE("R",'Mapa final'!$A$115),"")</f>
        <v/>
      </c>
      <c r="Y60" s="270"/>
      <c r="Z60" s="270" t="str">
        <f>IF(AND('Mapa final'!$K$118="Media",'Mapa final'!$O$118="Menor"),CONCATENATE("R",'Mapa final'!$A$118),"")</f>
        <v/>
      </c>
      <c r="AA60" s="270"/>
      <c r="AB60" s="270" t="str">
        <f>IF(AND('Mapa final'!$K$121="Media",'Mapa final'!$O$121="Menor"),CONCATENATE("R",'Mapa final'!$A$121),"")</f>
        <v/>
      </c>
      <c r="AC60" s="271"/>
      <c r="AD60" s="272" t="str">
        <f>IF(AND('Mapa final'!$K$109="Media",'Mapa final'!$O$109="Moderado"),CONCATENATE("R",'Mapa final'!$A$109),"")</f>
        <v/>
      </c>
      <c r="AE60" s="270"/>
      <c r="AF60" s="270" t="str">
        <f>IF(AND('Mapa final'!$K$112="Media",'Mapa final'!$O$112="Moderado"),CONCATENATE("R",'Mapa final'!$A$112),"")</f>
        <v/>
      </c>
      <c r="AG60" s="270"/>
      <c r="AH60" s="270" t="str">
        <f>IF(AND('Mapa final'!$K$115="Media",'Mapa final'!$O$115="Moderado"),CONCATENATE("R",'Mapa final'!$A$115),"")</f>
        <v/>
      </c>
      <c r="AI60" s="270"/>
      <c r="AJ60" s="270" t="str">
        <f>IF(AND('Mapa final'!$K$118="Media",'Mapa final'!$O$118="Moderado"),CONCATENATE("R",'Mapa final'!$A$118),"")</f>
        <v/>
      </c>
      <c r="AK60" s="270"/>
      <c r="AL60" s="270" t="str">
        <f>IF(AND('Mapa final'!$K$121="Media",'Mapa final'!$O$121="Moderado"),CONCATENATE("R",'Mapa final'!$A$121),"")</f>
        <v/>
      </c>
      <c r="AM60" s="271"/>
      <c r="AN60" s="275" t="str">
        <f>IF(AND('Mapa final'!$K$109="Media",'Mapa final'!$O$109="Mayor"),CONCATENATE("R",'Mapa final'!$A$109),"")</f>
        <v/>
      </c>
      <c r="AO60" s="273"/>
      <c r="AP60" s="273" t="str">
        <f>IF(AND('Mapa final'!$K$112="Media",'Mapa final'!$O$112="Mayor"),CONCATENATE("R",'Mapa final'!$A$112),"")</f>
        <v/>
      </c>
      <c r="AQ60" s="273"/>
      <c r="AR60" s="273" t="str">
        <f>IF(AND('Mapa final'!$K$115="Media",'Mapa final'!$O$115="Mayor"),CONCATENATE("R",'Mapa final'!$A$115),"")</f>
        <v/>
      </c>
      <c r="AS60" s="273"/>
      <c r="AT60" s="273" t="str">
        <f>IF(AND('Mapa final'!$K$118="Media",'Mapa final'!$O$118="Mayor"),CONCATENATE("R",'Mapa final'!$A$118),"")</f>
        <v/>
      </c>
      <c r="AU60" s="273"/>
      <c r="AV60" s="273" t="str">
        <f>IF(AND('Mapa final'!$K$121="Media",'Mapa final'!$O$121="Mayor"),CONCATENATE("R",'Mapa final'!$A$121),"")</f>
        <v/>
      </c>
      <c r="AW60" s="273"/>
      <c r="AX60" s="285" t="str">
        <f>IF(AND('Mapa final'!$K$109="Media",'Mapa final'!$O$109="Catastrófico"),CONCATENATE("R",'Mapa final'!$A$109),"")</f>
        <v/>
      </c>
      <c r="AY60" s="267"/>
      <c r="AZ60" s="267" t="str">
        <f>IF(AND('Mapa final'!$K$112="Media",'Mapa final'!$O$112="Catastrófico"),CONCATENATE("R",'Mapa final'!$A$112),"")</f>
        <v/>
      </c>
      <c r="BA60" s="267"/>
      <c r="BB60" s="267" t="str">
        <f>IF(AND('Mapa final'!$K$115="Media",'Mapa final'!$O$115="Catastrófico"),CONCATENATE("R",'Mapa final'!$A$115),"")</f>
        <v/>
      </c>
      <c r="BC60" s="267"/>
      <c r="BD60" s="267" t="str">
        <f>IF(AND('Mapa final'!$K$118="Media",'Mapa final'!$O$118="Catastrófico"),CONCATENATE("R",'Mapa final'!$A$118),"")</f>
        <v/>
      </c>
      <c r="BE60" s="267"/>
      <c r="BF60" s="267" t="str">
        <f>IF(AND('Mapa final'!$K$121="Media",'Mapa final'!$O$121="Catastrófico"),CONCATENATE("R",'Mapa final'!$A$121),"")</f>
        <v/>
      </c>
      <c r="BG60" s="286"/>
      <c r="BH60" s="58"/>
      <c r="BI60" s="314"/>
      <c r="BJ60" s="315"/>
      <c r="BK60" s="315"/>
      <c r="BL60" s="315"/>
      <c r="BM60" s="315"/>
      <c r="BN60" s="316"/>
      <c r="BO60" s="58"/>
      <c r="BP60" s="58"/>
      <c r="BQ60" s="58"/>
      <c r="BR60" s="58"/>
      <c r="BS60" s="58"/>
      <c r="BT60" s="58"/>
      <c r="BU60" s="58"/>
      <c r="BV60" s="58"/>
      <c r="BW60" s="58"/>
      <c r="BX60" s="58"/>
      <c r="BY60" s="58"/>
      <c r="BZ60" s="58"/>
      <c r="CA60" s="58"/>
      <c r="CB60" s="58"/>
      <c r="CC60" s="58"/>
      <c r="CD60" s="58"/>
      <c r="CE60" s="58"/>
      <c r="CF60" s="58"/>
      <c r="CG60" s="58"/>
      <c r="CH60" s="58"/>
      <c r="CI60" s="58"/>
      <c r="CJ60" s="58"/>
      <c r="CK60" s="58"/>
      <c r="CL60" s="58"/>
      <c r="CM60" s="58"/>
      <c r="CN60" s="58"/>
      <c r="CO60" s="58"/>
      <c r="CP60" s="58"/>
      <c r="CQ60" s="58"/>
      <c r="CR60" s="58"/>
      <c r="CS60" s="58"/>
      <c r="CT60" s="58"/>
      <c r="CU60" s="58"/>
      <c r="CV60" s="58"/>
    </row>
    <row r="61" spans="1:100" ht="15" customHeight="1" x14ac:dyDescent="0.25">
      <c r="A61" s="58"/>
      <c r="B61" s="356"/>
      <c r="C61" s="356"/>
      <c r="D61" s="357"/>
      <c r="E61" s="331"/>
      <c r="F61" s="332"/>
      <c r="G61" s="332"/>
      <c r="H61" s="332"/>
      <c r="I61" s="333"/>
      <c r="J61" s="272"/>
      <c r="K61" s="270"/>
      <c r="L61" s="270"/>
      <c r="M61" s="270"/>
      <c r="N61" s="270"/>
      <c r="O61" s="270"/>
      <c r="P61" s="270"/>
      <c r="Q61" s="270"/>
      <c r="R61" s="270"/>
      <c r="S61" s="271"/>
      <c r="T61" s="272"/>
      <c r="U61" s="270"/>
      <c r="V61" s="270"/>
      <c r="W61" s="270"/>
      <c r="X61" s="270"/>
      <c r="Y61" s="270"/>
      <c r="Z61" s="270"/>
      <c r="AA61" s="270"/>
      <c r="AB61" s="270"/>
      <c r="AC61" s="271"/>
      <c r="AD61" s="272"/>
      <c r="AE61" s="270"/>
      <c r="AF61" s="270"/>
      <c r="AG61" s="270"/>
      <c r="AH61" s="270"/>
      <c r="AI61" s="270"/>
      <c r="AJ61" s="270"/>
      <c r="AK61" s="270"/>
      <c r="AL61" s="270"/>
      <c r="AM61" s="271"/>
      <c r="AN61" s="275"/>
      <c r="AO61" s="273"/>
      <c r="AP61" s="273"/>
      <c r="AQ61" s="273"/>
      <c r="AR61" s="273"/>
      <c r="AS61" s="273"/>
      <c r="AT61" s="273"/>
      <c r="AU61" s="273"/>
      <c r="AV61" s="273"/>
      <c r="AW61" s="273"/>
      <c r="AX61" s="285"/>
      <c r="AY61" s="267"/>
      <c r="AZ61" s="267"/>
      <c r="BA61" s="267"/>
      <c r="BB61" s="267"/>
      <c r="BC61" s="267"/>
      <c r="BD61" s="267"/>
      <c r="BE61" s="267"/>
      <c r="BF61" s="267"/>
      <c r="BG61" s="286"/>
      <c r="BH61" s="58"/>
      <c r="BI61" s="314"/>
      <c r="BJ61" s="315"/>
      <c r="BK61" s="315"/>
      <c r="BL61" s="315"/>
      <c r="BM61" s="315"/>
      <c r="BN61" s="316"/>
      <c r="BO61" s="58"/>
      <c r="BP61" s="58"/>
      <c r="BQ61" s="58"/>
      <c r="BR61" s="58"/>
      <c r="BS61" s="58"/>
      <c r="BT61" s="58"/>
      <c r="BU61" s="58"/>
      <c r="BV61" s="58"/>
      <c r="BW61" s="58"/>
      <c r="BX61" s="58"/>
      <c r="BY61" s="58"/>
      <c r="BZ61" s="58"/>
      <c r="CA61" s="58"/>
      <c r="CB61" s="58"/>
      <c r="CC61" s="58"/>
      <c r="CD61" s="58"/>
      <c r="CE61" s="58"/>
      <c r="CF61" s="58"/>
      <c r="CG61" s="58"/>
      <c r="CH61" s="58"/>
      <c r="CI61" s="58"/>
      <c r="CJ61" s="58"/>
      <c r="CK61" s="58"/>
      <c r="CL61" s="58"/>
      <c r="CM61" s="58"/>
      <c r="CN61" s="58"/>
      <c r="CO61" s="58"/>
      <c r="CP61" s="58"/>
      <c r="CQ61" s="58"/>
      <c r="CR61" s="58"/>
      <c r="CS61" s="58"/>
      <c r="CT61" s="58"/>
      <c r="CU61" s="58"/>
      <c r="CV61" s="58"/>
    </row>
    <row r="62" spans="1:100" ht="15" customHeight="1" x14ac:dyDescent="0.25">
      <c r="A62" s="58"/>
      <c r="B62" s="356"/>
      <c r="C62" s="356"/>
      <c r="D62" s="357"/>
      <c r="E62" s="331"/>
      <c r="F62" s="332"/>
      <c r="G62" s="332"/>
      <c r="H62" s="332"/>
      <c r="I62" s="333"/>
      <c r="J62" s="272" t="str">
        <f>IF(AND('Mapa final'!$K$124="Media",'Mapa final'!$O$124="Leve"),CONCATENATE("R",'Mapa final'!$A$124),"")</f>
        <v/>
      </c>
      <c r="K62" s="270"/>
      <c r="L62" s="270" t="str">
        <f>IF(AND('Mapa final'!$K$127="Media",'Mapa final'!$O$127="Leve"),CONCATENATE("R",'Mapa final'!$A$127),"")</f>
        <v/>
      </c>
      <c r="M62" s="270"/>
      <c r="N62" s="270" t="str">
        <f>IF(AND('Mapa final'!$K$130="Media",'Mapa final'!$O$130="Leve"),CONCATENATE("R",'Mapa final'!$A$130),"")</f>
        <v/>
      </c>
      <c r="O62" s="270"/>
      <c r="P62" s="270" t="str">
        <f>IF(AND('Mapa final'!$K$133="Media",'Mapa final'!$O$133="Leve"),CONCATENATE("R",'Mapa final'!$A$133),"")</f>
        <v>R43</v>
      </c>
      <c r="Q62" s="270"/>
      <c r="R62" s="270" t="str">
        <f>IF(AND('Mapa final'!$K$136="Media",'Mapa final'!$O$136="Leve"),CONCATENATE("R",'Mapa final'!$A$136),"")</f>
        <v/>
      </c>
      <c r="S62" s="271"/>
      <c r="T62" s="272" t="str">
        <f>IF(AND('Mapa final'!$K$124="Media",'Mapa final'!$O$124="Menor"),CONCATENATE("R",'Mapa final'!$A$124),"")</f>
        <v/>
      </c>
      <c r="U62" s="270"/>
      <c r="V62" s="270" t="str">
        <f>IF(AND('Mapa final'!$K$127="Media",'Mapa final'!$O$127="Menor"),CONCATENATE("R",'Mapa final'!$A$127),"")</f>
        <v/>
      </c>
      <c r="W62" s="270"/>
      <c r="X62" s="270" t="str">
        <f>IF(AND('Mapa final'!$K$130="Media",'Mapa final'!$O$130="Menor"),CONCATENATE("R",'Mapa final'!$A$130),"")</f>
        <v/>
      </c>
      <c r="Y62" s="270"/>
      <c r="Z62" s="270" t="str">
        <f>IF(AND('Mapa final'!$K$133="Media",'Mapa final'!$O$133="Menor"),CONCATENATE("R",'Mapa final'!$A$133),"")</f>
        <v/>
      </c>
      <c r="AA62" s="270"/>
      <c r="AB62" s="270" t="str">
        <f>IF(AND('Mapa final'!$K$136="Media",'Mapa final'!$O$136="Menor"),CONCATENATE("R",'Mapa final'!$A$136),"")</f>
        <v/>
      </c>
      <c r="AC62" s="271"/>
      <c r="AD62" s="272" t="str">
        <f>IF(AND('Mapa final'!$K$124="Media",'Mapa final'!$O$124="Moderado"),CONCATENATE("R",'Mapa final'!$A$124),"")</f>
        <v/>
      </c>
      <c r="AE62" s="270"/>
      <c r="AF62" s="270" t="str">
        <f>IF(AND('Mapa final'!$K$127="Media",'Mapa final'!$O$127="Moderado"),CONCATENATE("R",'Mapa final'!$A$127),"")</f>
        <v/>
      </c>
      <c r="AG62" s="270"/>
      <c r="AH62" s="270" t="str">
        <f>IF(AND('Mapa final'!$K$130="Media",'Mapa final'!$O$130="Moderado"),CONCATENATE("R",'Mapa final'!$A$130),"")</f>
        <v>R42</v>
      </c>
      <c r="AI62" s="270"/>
      <c r="AJ62" s="270" t="str">
        <f>IF(AND('Mapa final'!$K$133="Media",'Mapa final'!$O$133="Moderado"),CONCATENATE("R",'Mapa final'!$A$133),"")</f>
        <v/>
      </c>
      <c r="AK62" s="270"/>
      <c r="AL62" s="270" t="str">
        <f>IF(AND('Mapa final'!$K$136="Media",'Mapa final'!$O$136="Moderado"),CONCATENATE("R",'Mapa final'!$A$136),"")</f>
        <v/>
      </c>
      <c r="AM62" s="271"/>
      <c r="AN62" s="275" t="str">
        <f>IF(AND('Mapa final'!$K$124="Media",'Mapa final'!$O$124="Mayor"),CONCATENATE("R",'Mapa final'!$A$124),"")</f>
        <v/>
      </c>
      <c r="AO62" s="273"/>
      <c r="AP62" s="273" t="str">
        <f>IF(AND('Mapa final'!$K$127="Media",'Mapa final'!$O$127="Mayor"),CONCATENATE("R",'Mapa final'!$A$127),"")</f>
        <v>R41</v>
      </c>
      <c r="AQ62" s="273"/>
      <c r="AR62" s="273" t="str">
        <f>IF(AND('Mapa final'!$K$130="Media",'Mapa final'!$O$130="Mayor"),CONCATENATE("R",'Mapa final'!$A$130),"")</f>
        <v/>
      </c>
      <c r="AS62" s="273"/>
      <c r="AT62" s="273" t="str">
        <f>IF(AND('Mapa final'!$K$133="Media",'Mapa final'!$O$133="Mayor"),CONCATENATE("R",'Mapa final'!$A$133),"")</f>
        <v/>
      </c>
      <c r="AU62" s="273"/>
      <c r="AV62" s="273" t="str">
        <f>IF(AND('Mapa final'!$K$136="Media",'Mapa final'!$O$136="Mayor"),CONCATENATE("R",'Mapa final'!$A$136),"")</f>
        <v/>
      </c>
      <c r="AW62" s="273"/>
      <c r="AX62" s="285" t="str">
        <f>IF(AND('Mapa final'!$K$124="Media",'Mapa final'!$O$124="Catastrófico"),CONCATENATE("R",'Mapa final'!$A$124),"")</f>
        <v/>
      </c>
      <c r="AY62" s="267"/>
      <c r="AZ62" s="267" t="str">
        <f>IF(AND('Mapa final'!$K$127="Media",'Mapa final'!$O$127="Catastrófico"),CONCATENATE("R",'Mapa final'!$A$127),"")</f>
        <v/>
      </c>
      <c r="BA62" s="267"/>
      <c r="BB62" s="267" t="str">
        <f>IF(AND('Mapa final'!$K$130="Media",'Mapa final'!$O$130="Catastrófico"),CONCATENATE("R",'Mapa final'!$A$130),"")</f>
        <v/>
      </c>
      <c r="BC62" s="267"/>
      <c r="BD62" s="267" t="str">
        <f>IF(AND('Mapa final'!$K$133="Media",'Mapa final'!$O$133="Catastrófico"),CONCATENATE("R",'Mapa final'!$A$133),"")</f>
        <v/>
      </c>
      <c r="BE62" s="267"/>
      <c r="BF62" s="267" t="str">
        <f>IF(AND('Mapa final'!$K$136="Media",'Mapa final'!$O$136="Catastrófico"),CONCATENATE("R",'Mapa final'!$A$136),"")</f>
        <v/>
      </c>
      <c r="BG62" s="286"/>
      <c r="BH62" s="58"/>
      <c r="BI62" s="314"/>
      <c r="BJ62" s="315"/>
      <c r="BK62" s="315"/>
      <c r="BL62" s="315"/>
      <c r="BM62" s="315"/>
      <c r="BN62" s="316"/>
      <c r="BO62" s="58"/>
      <c r="BP62" s="58"/>
      <c r="BQ62" s="58"/>
      <c r="BR62" s="58"/>
      <c r="BS62" s="58"/>
      <c r="BT62" s="58"/>
      <c r="BU62" s="58"/>
      <c r="BV62" s="58"/>
      <c r="BW62" s="58"/>
      <c r="BX62" s="58"/>
      <c r="BY62" s="58"/>
      <c r="BZ62" s="58"/>
      <c r="CA62" s="58"/>
      <c r="CB62" s="58"/>
      <c r="CC62" s="58"/>
      <c r="CD62" s="58"/>
      <c r="CE62" s="58"/>
      <c r="CF62" s="58"/>
      <c r="CG62" s="58"/>
      <c r="CH62" s="58"/>
      <c r="CI62" s="58"/>
      <c r="CJ62" s="58"/>
      <c r="CK62" s="58"/>
      <c r="CL62" s="58"/>
      <c r="CM62" s="58"/>
      <c r="CN62" s="58"/>
      <c r="CO62" s="58"/>
      <c r="CP62" s="58"/>
      <c r="CQ62" s="58"/>
      <c r="CR62" s="58"/>
      <c r="CS62" s="58"/>
      <c r="CT62" s="58"/>
      <c r="CU62" s="58"/>
      <c r="CV62" s="58"/>
    </row>
    <row r="63" spans="1:100" ht="15" customHeight="1" x14ac:dyDescent="0.25">
      <c r="A63" s="58"/>
      <c r="B63" s="356"/>
      <c r="C63" s="356"/>
      <c r="D63" s="357"/>
      <c r="E63" s="331"/>
      <c r="F63" s="332"/>
      <c r="G63" s="332"/>
      <c r="H63" s="332"/>
      <c r="I63" s="333"/>
      <c r="J63" s="272"/>
      <c r="K63" s="270"/>
      <c r="L63" s="270"/>
      <c r="M63" s="270"/>
      <c r="N63" s="270"/>
      <c r="O63" s="270"/>
      <c r="P63" s="270"/>
      <c r="Q63" s="270"/>
      <c r="R63" s="270"/>
      <c r="S63" s="271"/>
      <c r="T63" s="272"/>
      <c r="U63" s="270"/>
      <c r="V63" s="270"/>
      <c r="W63" s="270"/>
      <c r="X63" s="270"/>
      <c r="Y63" s="270"/>
      <c r="Z63" s="270"/>
      <c r="AA63" s="270"/>
      <c r="AB63" s="270"/>
      <c r="AC63" s="271"/>
      <c r="AD63" s="272"/>
      <c r="AE63" s="270"/>
      <c r="AF63" s="270"/>
      <c r="AG63" s="270"/>
      <c r="AH63" s="270"/>
      <c r="AI63" s="270"/>
      <c r="AJ63" s="270"/>
      <c r="AK63" s="270"/>
      <c r="AL63" s="270"/>
      <c r="AM63" s="271"/>
      <c r="AN63" s="275"/>
      <c r="AO63" s="273"/>
      <c r="AP63" s="273"/>
      <c r="AQ63" s="273"/>
      <c r="AR63" s="273"/>
      <c r="AS63" s="273"/>
      <c r="AT63" s="273"/>
      <c r="AU63" s="273"/>
      <c r="AV63" s="273"/>
      <c r="AW63" s="273"/>
      <c r="AX63" s="285"/>
      <c r="AY63" s="267"/>
      <c r="AZ63" s="267"/>
      <c r="BA63" s="267"/>
      <c r="BB63" s="267"/>
      <c r="BC63" s="267"/>
      <c r="BD63" s="267"/>
      <c r="BE63" s="267"/>
      <c r="BF63" s="267"/>
      <c r="BG63" s="286"/>
      <c r="BH63" s="58"/>
      <c r="BI63" s="314"/>
      <c r="BJ63" s="315"/>
      <c r="BK63" s="315"/>
      <c r="BL63" s="315"/>
      <c r="BM63" s="315"/>
      <c r="BN63" s="316"/>
      <c r="BO63" s="58"/>
      <c r="BP63" s="58"/>
      <c r="BQ63" s="58"/>
      <c r="BR63" s="58"/>
      <c r="BS63" s="58"/>
      <c r="BT63" s="58"/>
      <c r="BU63" s="58"/>
      <c r="BV63" s="58"/>
      <c r="BW63" s="58"/>
      <c r="BX63" s="58"/>
      <c r="BY63" s="58"/>
      <c r="BZ63" s="58"/>
      <c r="CA63" s="58"/>
      <c r="CB63" s="58"/>
      <c r="CC63" s="58"/>
      <c r="CD63" s="58"/>
      <c r="CE63" s="58"/>
      <c r="CF63" s="58"/>
      <c r="CG63" s="58"/>
      <c r="CH63" s="58"/>
      <c r="CI63" s="58"/>
      <c r="CJ63" s="58"/>
      <c r="CK63" s="58"/>
      <c r="CL63" s="58"/>
      <c r="CM63" s="58"/>
      <c r="CN63" s="58"/>
      <c r="CO63" s="58"/>
      <c r="CP63" s="58"/>
      <c r="CQ63" s="58"/>
      <c r="CR63" s="58"/>
      <c r="CS63" s="58"/>
      <c r="CT63" s="58"/>
      <c r="CU63" s="58"/>
      <c r="CV63" s="58"/>
    </row>
    <row r="64" spans="1:100" ht="15" customHeight="1" x14ac:dyDescent="0.25">
      <c r="A64" s="58"/>
      <c r="B64" s="356"/>
      <c r="C64" s="356"/>
      <c r="D64" s="357"/>
      <c r="E64" s="331"/>
      <c r="F64" s="332"/>
      <c r="G64" s="332"/>
      <c r="H64" s="332"/>
      <c r="I64" s="333"/>
      <c r="J64" s="272" t="str">
        <f>IF(AND('Mapa final'!$K$139="Media",'Mapa final'!$O$139="Leve"),CONCATENATE("R",'Mapa final'!$A$139),"")</f>
        <v/>
      </c>
      <c r="K64" s="270"/>
      <c r="L64" s="270" t="str">
        <f>IF(AND('Mapa final'!$K$142="Media",'Mapa final'!$O$142="Leve"),CONCATENATE("R",'Mapa final'!$A$142),"")</f>
        <v/>
      </c>
      <c r="M64" s="270"/>
      <c r="N64" s="270" t="str">
        <f>IF(AND('Mapa final'!$K$145="Media",'Mapa final'!$O$145="Leve"),CONCATENATE("R",'Mapa final'!$A$145),"")</f>
        <v/>
      </c>
      <c r="O64" s="270"/>
      <c r="P64" s="270" t="str">
        <f>IF(AND('Mapa final'!$K$148="Media",'Mapa final'!$O$148="Leve"),CONCATENATE("R",'Mapa final'!$A$148),"")</f>
        <v/>
      </c>
      <c r="Q64" s="270"/>
      <c r="R64" s="270" t="str">
        <f>IF(AND('Mapa final'!$K$151="Media",'Mapa final'!$O$151="Leve"),CONCATENATE("R",'Mapa final'!$A$151),"")</f>
        <v/>
      </c>
      <c r="S64" s="271"/>
      <c r="T64" s="272" t="str">
        <f>IF(AND('Mapa final'!$K$139="Media",'Mapa final'!$O$139="Menor"),CONCATENATE("R",'Mapa final'!$A$139),"")</f>
        <v/>
      </c>
      <c r="U64" s="270"/>
      <c r="V64" s="270" t="str">
        <f>IF(AND('Mapa final'!$K$142="Media",'Mapa final'!$O$142="Menor"),CONCATENATE("R",'Mapa final'!$A$142),"")</f>
        <v/>
      </c>
      <c r="W64" s="270"/>
      <c r="X64" s="270" t="str">
        <f>IF(AND('Mapa final'!$K$145="Media",'Mapa final'!$O$145="Menor"),CONCATENATE("R",'Mapa final'!$A$145),"")</f>
        <v/>
      </c>
      <c r="Y64" s="270"/>
      <c r="Z64" s="270" t="str">
        <f>IF(AND('Mapa final'!$K$148="Media",'Mapa final'!$O$148="Menor"),CONCATENATE("R",'Mapa final'!$A$148),"")</f>
        <v/>
      </c>
      <c r="AA64" s="270"/>
      <c r="AB64" s="270" t="str">
        <f>IF(AND('Mapa final'!$K$151="Media",'Mapa final'!$O$151="Menor"),CONCATENATE("R",'Mapa final'!$A$151),"")</f>
        <v/>
      </c>
      <c r="AC64" s="271"/>
      <c r="AD64" s="272" t="str">
        <f>IF(AND('Mapa final'!$K$139="Media",'Mapa final'!$O$139="Moderado"),CONCATENATE("R",'Mapa final'!$A$139),"")</f>
        <v/>
      </c>
      <c r="AE64" s="270"/>
      <c r="AF64" s="270" t="str">
        <f>IF(AND('Mapa final'!$K$142="Media",'Mapa final'!$O$142="Moderado"),CONCATENATE("R",'Mapa final'!$A$142),"")</f>
        <v/>
      </c>
      <c r="AG64" s="270"/>
      <c r="AH64" s="270" t="str">
        <f>IF(AND('Mapa final'!$K$145="Media",'Mapa final'!$O$145="Moderado"),CONCATENATE("R",'Mapa final'!$A$145),"")</f>
        <v/>
      </c>
      <c r="AI64" s="270"/>
      <c r="AJ64" s="270" t="str">
        <f>IF(AND('Mapa final'!$K$148="Media",'Mapa final'!$O$148="Moderado"),CONCATENATE("R",'Mapa final'!$A$148),"")</f>
        <v/>
      </c>
      <c r="AK64" s="270"/>
      <c r="AL64" s="270" t="str">
        <f>IF(AND('Mapa final'!$K$151="Media",'Mapa final'!$O$151="Moderado"),CONCATENATE("R",'Mapa final'!$A$151),"")</f>
        <v/>
      </c>
      <c r="AM64" s="271"/>
      <c r="AN64" s="275" t="str">
        <f>IF(AND('Mapa final'!$K$139="Media",'Mapa final'!$O$139="Mayor"),CONCATENATE("R",'Mapa final'!$A$139),"")</f>
        <v/>
      </c>
      <c r="AO64" s="273"/>
      <c r="AP64" s="273" t="str">
        <f>IF(AND('Mapa final'!$K$142="Media",'Mapa final'!$O$142="Mayor"),CONCATENATE("R",'Mapa final'!$A$142),"")</f>
        <v/>
      </c>
      <c r="AQ64" s="273"/>
      <c r="AR64" s="273" t="str">
        <f>IF(AND('Mapa final'!$K$145="Media",'Mapa final'!$O$145="Mayor"),CONCATENATE("R",'Mapa final'!$A$145),"")</f>
        <v/>
      </c>
      <c r="AS64" s="273"/>
      <c r="AT64" s="273" t="str">
        <f>IF(AND('Mapa final'!$K$148="Media",'Mapa final'!$O$148="Mayor"),CONCATENATE("R",'Mapa final'!$A$148),"")</f>
        <v/>
      </c>
      <c r="AU64" s="273"/>
      <c r="AV64" s="273" t="str">
        <f>IF(AND('Mapa final'!$K$151="Media",'Mapa final'!$O$151="Mayor"),CONCATENATE("R",'Mapa final'!$A$151),"")</f>
        <v/>
      </c>
      <c r="AW64" s="273"/>
      <c r="AX64" s="285" t="str">
        <f>IF(AND('Mapa final'!$K$139="Media",'Mapa final'!$O$139="Catastrófico"),CONCATENATE("R",'Mapa final'!$A$139),"")</f>
        <v/>
      </c>
      <c r="AY64" s="267"/>
      <c r="AZ64" s="267" t="str">
        <f>IF(AND('Mapa final'!$K$142="Media",'Mapa final'!$O$142="Catastrófico"),CONCATENATE("R",'Mapa final'!$A$142),"")</f>
        <v/>
      </c>
      <c r="BA64" s="267"/>
      <c r="BB64" s="267" t="str">
        <f>IF(AND('Mapa final'!$K$145="Media",'Mapa final'!$O$145="Catastrófico"),CONCATENATE("R",'Mapa final'!$A$145),"")</f>
        <v/>
      </c>
      <c r="BC64" s="267"/>
      <c r="BD64" s="267" t="str">
        <f>IF(AND('Mapa final'!$K$148="Media",'Mapa final'!$O$148="Catastrófico"),CONCATENATE("R",'Mapa final'!$A$148),"")</f>
        <v/>
      </c>
      <c r="BE64" s="267"/>
      <c r="BF64" s="267" t="str">
        <f>IF(AND('Mapa final'!$K$151="Media",'Mapa final'!$O$151="Catastrófico"),CONCATENATE("R",'Mapa final'!$A$151),"")</f>
        <v/>
      </c>
      <c r="BG64" s="286"/>
      <c r="BH64" s="58"/>
      <c r="BI64" s="314"/>
      <c r="BJ64" s="315"/>
      <c r="BK64" s="315"/>
      <c r="BL64" s="315"/>
      <c r="BM64" s="315"/>
      <c r="BN64" s="316"/>
      <c r="BO64" s="58"/>
      <c r="BP64" s="58"/>
      <c r="BQ64" s="58"/>
      <c r="BR64" s="58"/>
      <c r="BS64" s="58"/>
      <c r="BT64" s="58"/>
      <c r="BU64" s="58"/>
      <c r="BV64" s="58"/>
      <c r="BW64" s="58"/>
      <c r="BX64" s="58"/>
      <c r="BY64" s="58"/>
      <c r="BZ64" s="58"/>
      <c r="CA64" s="58"/>
      <c r="CB64" s="58"/>
      <c r="CC64" s="58"/>
      <c r="CD64" s="58"/>
      <c r="CE64" s="58"/>
      <c r="CF64" s="58"/>
      <c r="CG64" s="58"/>
      <c r="CH64" s="58"/>
      <c r="CI64" s="58"/>
      <c r="CJ64" s="58"/>
      <c r="CK64" s="58"/>
      <c r="CL64" s="58"/>
      <c r="CM64" s="58"/>
      <c r="CN64" s="58"/>
      <c r="CO64" s="58"/>
      <c r="CP64" s="58"/>
      <c r="CQ64" s="58"/>
      <c r="CR64" s="58"/>
      <c r="CS64" s="58"/>
      <c r="CT64" s="58"/>
      <c r="CU64" s="58"/>
      <c r="CV64" s="58"/>
    </row>
    <row r="65" spans="1:100" ht="15.75" customHeight="1" thickBot="1" x14ac:dyDescent="0.3">
      <c r="A65" s="58"/>
      <c r="B65" s="356"/>
      <c r="C65" s="356"/>
      <c r="D65" s="357"/>
      <c r="E65" s="334"/>
      <c r="F65" s="335"/>
      <c r="G65" s="335"/>
      <c r="H65" s="335"/>
      <c r="I65" s="335"/>
      <c r="J65" s="272"/>
      <c r="K65" s="270"/>
      <c r="L65" s="270"/>
      <c r="M65" s="270"/>
      <c r="N65" s="270"/>
      <c r="O65" s="270"/>
      <c r="P65" s="270"/>
      <c r="Q65" s="270"/>
      <c r="R65" s="270"/>
      <c r="S65" s="271"/>
      <c r="T65" s="272"/>
      <c r="U65" s="270"/>
      <c r="V65" s="270"/>
      <c r="W65" s="270"/>
      <c r="X65" s="270"/>
      <c r="Y65" s="270"/>
      <c r="Z65" s="270"/>
      <c r="AA65" s="270"/>
      <c r="AB65" s="270"/>
      <c r="AC65" s="271"/>
      <c r="AD65" s="280"/>
      <c r="AE65" s="281"/>
      <c r="AF65" s="281"/>
      <c r="AG65" s="281"/>
      <c r="AH65" s="281"/>
      <c r="AI65" s="281"/>
      <c r="AJ65" s="281"/>
      <c r="AK65" s="281"/>
      <c r="AL65" s="281"/>
      <c r="AM65" s="282"/>
      <c r="AN65" s="275"/>
      <c r="AO65" s="273"/>
      <c r="AP65" s="273"/>
      <c r="AQ65" s="273"/>
      <c r="AR65" s="273"/>
      <c r="AS65" s="273"/>
      <c r="AT65" s="273"/>
      <c r="AU65" s="273"/>
      <c r="AV65" s="273"/>
      <c r="AW65" s="273"/>
      <c r="AX65" s="285"/>
      <c r="AY65" s="267"/>
      <c r="AZ65" s="267"/>
      <c r="BA65" s="267"/>
      <c r="BB65" s="267"/>
      <c r="BC65" s="267"/>
      <c r="BD65" s="267"/>
      <c r="BE65" s="267"/>
      <c r="BF65" s="267"/>
      <c r="BG65" s="286"/>
      <c r="BH65" s="58"/>
      <c r="BI65" s="314"/>
      <c r="BJ65" s="315"/>
      <c r="BK65" s="315"/>
      <c r="BL65" s="315"/>
      <c r="BM65" s="315"/>
      <c r="BN65" s="316"/>
      <c r="BO65" s="58"/>
      <c r="BP65" s="58"/>
      <c r="BQ65" s="58"/>
      <c r="BR65" s="58"/>
      <c r="BS65" s="58"/>
      <c r="BT65" s="58"/>
      <c r="BU65" s="58"/>
      <c r="BV65" s="58"/>
      <c r="BW65" s="58"/>
      <c r="BX65" s="58"/>
      <c r="BY65" s="58"/>
      <c r="BZ65" s="58"/>
      <c r="CA65" s="58"/>
      <c r="CB65" s="58"/>
      <c r="CC65" s="58"/>
      <c r="CD65" s="58"/>
      <c r="CE65" s="58"/>
      <c r="CF65" s="58"/>
      <c r="CG65" s="58"/>
      <c r="CH65" s="58"/>
      <c r="CI65" s="58"/>
      <c r="CJ65" s="58"/>
      <c r="CK65" s="58"/>
      <c r="CL65" s="58"/>
      <c r="CM65" s="58"/>
      <c r="CN65" s="58"/>
      <c r="CO65" s="58"/>
      <c r="CP65" s="58"/>
      <c r="CQ65" s="58"/>
      <c r="CR65" s="58"/>
      <c r="CS65" s="58"/>
      <c r="CT65" s="58"/>
      <c r="CU65" s="58"/>
      <c r="CV65" s="58"/>
    </row>
    <row r="66" spans="1:100" ht="15" customHeight="1" x14ac:dyDescent="0.25">
      <c r="A66" s="58"/>
      <c r="B66" s="356"/>
      <c r="C66" s="356"/>
      <c r="D66" s="357"/>
      <c r="E66" s="329" t="s">
        <v>108</v>
      </c>
      <c r="F66" s="330"/>
      <c r="G66" s="330"/>
      <c r="H66" s="330"/>
      <c r="I66" s="330"/>
      <c r="J66" s="353" t="str">
        <f>IF(AND('Mapa final'!$K$7="Baja",'Mapa final'!$O$7="Leve"),CONCATENATE("R",'Mapa final'!$A$7),"")</f>
        <v/>
      </c>
      <c r="K66" s="292"/>
      <c r="L66" s="292" t="str">
        <f>IF(AND('Mapa final'!$K$10="Baja",'Mapa final'!$O$10="Leve"),CONCATENATE("R",'Mapa final'!$A$10),"")</f>
        <v/>
      </c>
      <c r="M66" s="292"/>
      <c r="N66" s="292" t="str">
        <f>IF(AND('Mapa final'!$K$13="Baja",'Mapa final'!$O$13="Leve"),CONCATENATE("R",'Mapa final'!$A$13),"")</f>
        <v/>
      </c>
      <c r="O66" s="292"/>
      <c r="P66" s="292" t="str">
        <f>IF(AND('Mapa final'!$K$16="Baja",'Mapa final'!$O$16="Leve"),CONCATENATE("R",'Mapa final'!$A$16),"")</f>
        <v/>
      </c>
      <c r="Q66" s="292"/>
      <c r="R66" s="292" t="str">
        <f>IF(AND('Mapa final'!$K$19="Baja",'Mapa final'!$O$19="Leve"),CONCATENATE("R",'Mapa final'!$A$19),"")</f>
        <v/>
      </c>
      <c r="S66" s="292"/>
      <c r="T66" s="277" t="str">
        <f>IF(AND('Mapa final'!$K$7="Baja",'Mapa final'!$O$7="Menor"),CONCATENATE("R",'Mapa final'!$A$7),"")</f>
        <v/>
      </c>
      <c r="U66" s="278"/>
      <c r="V66" s="278" t="str">
        <f>IF(AND('Mapa final'!$K$10="Baja",'Mapa final'!$O$10="Menor"),CONCATENATE("R",'Mapa final'!$A$10),"")</f>
        <v/>
      </c>
      <c r="W66" s="278"/>
      <c r="X66" s="278" t="str">
        <f>IF(AND('Mapa final'!$K$13="Baja",'Mapa final'!$O$13="Menor"),CONCATENATE("R",'Mapa final'!$A$13),"")</f>
        <v/>
      </c>
      <c r="Y66" s="278"/>
      <c r="Z66" s="278" t="str">
        <f>IF(AND('Mapa final'!$K$16="Baja",'Mapa final'!$O$16="Menor"),CONCATENATE("R",'Mapa final'!$A$16),"")</f>
        <v/>
      </c>
      <c r="AA66" s="278"/>
      <c r="AB66" s="278" t="str">
        <f>IF(AND('Mapa final'!$K$19="Baja",'Mapa final'!$O$19="Menor"),CONCATENATE("R",'Mapa final'!$A$19),"")</f>
        <v/>
      </c>
      <c r="AC66" s="279"/>
      <c r="AD66" s="277" t="str">
        <f>IF(AND('Mapa final'!$K$7="Baja",'Mapa final'!$O$7="Moderado"),CONCATENATE("R",'Mapa final'!$A$7),"")</f>
        <v>R1</v>
      </c>
      <c r="AE66" s="278"/>
      <c r="AF66" s="278" t="str">
        <f>IF(AND('Mapa final'!$K$10="Baja",'Mapa final'!$O$10="Moderado"),CONCATENATE("R",'Mapa final'!$A$10),"")</f>
        <v/>
      </c>
      <c r="AG66" s="278"/>
      <c r="AH66" s="278" t="str">
        <f>IF(AND('Mapa final'!$K$13="Baja",'Mapa final'!$O$13="Moderado"),CONCATENATE("R",'Mapa final'!$A$13),"")</f>
        <v/>
      </c>
      <c r="AI66" s="278"/>
      <c r="AJ66" s="278" t="str">
        <f>IF(AND('Mapa final'!$K$16="Baja",'Mapa final'!$O$16="Moderado"),CONCATENATE("R",'Mapa final'!$A$16),"")</f>
        <v/>
      </c>
      <c r="AK66" s="278"/>
      <c r="AL66" s="278" t="str">
        <f>IF(AND('Mapa final'!$K$19="Baja",'Mapa final'!$O$19="Moderado"),CONCATENATE("R",'Mapa final'!$A$19),"")</f>
        <v/>
      </c>
      <c r="AM66" s="279"/>
      <c r="AN66" s="283" t="str">
        <f>IF(AND('Mapa final'!$K$7="Baja",'Mapa final'!$O$7="Mayor"),CONCATENATE("R",'Mapa final'!$A$7),"")</f>
        <v/>
      </c>
      <c r="AO66" s="284"/>
      <c r="AP66" s="284" t="str">
        <f>IF(AND('Mapa final'!$K$10="Baja",'Mapa final'!$O$10="Mayor"),CONCATENATE("R",'Mapa final'!$A$10),"")</f>
        <v/>
      </c>
      <c r="AQ66" s="284"/>
      <c r="AR66" s="284" t="str">
        <f>IF(AND('Mapa final'!$K$13="Baja",'Mapa final'!$O$13="Mayor"),CONCATENATE("R",'Mapa final'!$A$13),"")</f>
        <v/>
      </c>
      <c r="AS66" s="284"/>
      <c r="AT66" s="284" t="str">
        <f>IF(AND('Mapa final'!$K$16="Baja",'Mapa final'!$O$16="Mayor"),CONCATENATE("R",'Mapa final'!$A$16),"")</f>
        <v/>
      </c>
      <c r="AU66" s="284"/>
      <c r="AV66" s="284" t="str">
        <f>IF(AND('Mapa final'!$K$19="Baja",'Mapa final'!$O$19="Mayor"),CONCATENATE("R",'Mapa final'!$A$19),"")</f>
        <v/>
      </c>
      <c r="AW66" s="284"/>
      <c r="AX66" s="288" t="str">
        <f>IF(AND('Mapa final'!$K$7="Baja",'Mapa final'!$O$7="Catastrófico"),CONCATENATE("R",'Mapa final'!$A$7),"")</f>
        <v/>
      </c>
      <c r="AY66" s="289"/>
      <c r="AZ66" s="289" t="str">
        <f>IF(AND('Mapa final'!$K$10="Baja",'Mapa final'!$O$10="Catastrófico"),CONCATENATE("R",'Mapa final'!$A$10),"")</f>
        <v/>
      </c>
      <c r="BA66" s="289"/>
      <c r="BB66" s="289" t="str">
        <f>IF(AND('Mapa final'!$K$13="Baja",'Mapa final'!$O$13="Catastrófico"),CONCATENATE("R",'Mapa final'!$A$13),"")</f>
        <v/>
      </c>
      <c r="BC66" s="289"/>
      <c r="BD66" s="289" t="str">
        <f>IF(AND('Mapa final'!$K$16="Baja",'Mapa final'!$O$16="Catastrófico"),CONCATENATE("R",'Mapa final'!$A$16),"")</f>
        <v/>
      </c>
      <c r="BE66" s="289"/>
      <c r="BF66" s="289" t="str">
        <f>IF(AND('Mapa final'!$K$19="Baja",'Mapa final'!$O$19="Catastrófico"),CONCATENATE("R",'Mapa final'!$A$19),"")</f>
        <v/>
      </c>
      <c r="BG66" s="347"/>
      <c r="BH66" s="58"/>
      <c r="BI66" s="314"/>
      <c r="BJ66" s="315"/>
      <c r="BK66" s="315"/>
      <c r="BL66" s="315"/>
      <c r="BM66" s="315"/>
      <c r="BN66" s="316"/>
      <c r="BO66" s="58"/>
      <c r="BP66" s="58"/>
      <c r="BQ66" s="58"/>
      <c r="BR66" s="58"/>
      <c r="BS66" s="58"/>
      <c r="BT66" s="58"/>
      <c r="BU66" s="58"/>
      <c r="BV66" s="58"/>
      <c r="BW66" s="58"/>
      <c r="BX66" s="58"/>
      <c r="BY66" s="58"/>
      <c r="BZ66" s="58"/>
      <c r="CA66" s="58"/>
      <c r="CB66" s="58"/>
      <c r="CC66" s="58"/>
      <c r="CD66" s="58"/>
      <c r="CE66" s="58"/>
      <c r="CF66" s="58"/>
      <c r="CG66" s="58"/>
      <c r="CH66" s="58"/>
      <c r="CI66" s="58"/>
      <c r="CJ66" s="58"/>
      <c r="CK66" s="58"/>
      <c r="CL66" s="58"/>
      <c r="CM66" s="58"/>
      <c r="CN66" s="58"/>
      <c r="CO66" s="58"/>
      <c r="CP66" s="58"/>
      <c r="CQ66" s="58"/>
      <c r="CR66" s="58"/>
      <c r="CS66" s="58"/>
      <c r="CT66" s="58"/>
      <c r="CU66" s="58"/>
      <c r="CV66" s="58"/>
    </row>
    <row r="67" spans="1:100" ht="15" customHeight="1" x14ac:dyDescent="0.25">
      <c r="A67" s="58"/>
      <c r="B67" s="356"/>
      <c r="C67" s="356"/>
      <c r="D67" s="357"/>
      <c r="E67" s="331"/>
      <c r="F67" s="332"/>
      <c r="G67" s="332"/>
      <c r="H67" s="332"/>
      <c r="I67" s="333"/>
      <c r="J67" s="265"/>
      <c r="K67" s="266"/>
      <c r="L67" s="266"/>
      <c r="M67" s="266"/>
      <c r="N67" s="266"/>
      <c r="O67" s="266"/>
      <c r="P67" s="266"/>
      <c r="Q67" s="266"/>
      <c r="R67" s="266"/>
      <c r="S67" s="266"/>
      <c r="T67" s="272"/>
      <c r="U67" s="270"/>
      <c r="V67" s="270"/>
      <c r="W67" s="270"/>
      <c r="X67" s="270"/>
      <c r="Y67" s="270"/>
      <c r="Z67" s="270"/>
      <c r="AA67" s="270"/>
      <c r="AB67" s="270"/>
      <c r="AC67" s="271"/>
      <c r="AD67" s="272"/>
      <c r="AE67" s="270"/>
      <c r="AF67" s="270"/>
      <c r="AG67" s="270"/>
      <c r="AH67" s="270"/>
      <c r="AI67" s="270"/>
      <c r="AJ67" s="270"/>
      <c r="AK67" s="270"/>
      <c r="AL67" s="270"/>
      <c r="AM67" s="271"/>
      <c r="AN67" s="275"/>
      <c r="AO67" s="273"/>
      <c r="AP67" s="273"/>
      <c r="AQ67" s="273"/>
      <c r="AR67" s="273"/>
      <c r="AS67" s="273"/>
      <c r="AT67" s="273"/>
      <c r="AU67" s="273"/>
      <c r="AV67" s="273"/>
      <c r="AW67" s="273"/>
      <c r="AX67" s="285"/>
      <c r="AY67" s="267"/>
      <c r="AZ67" s="267"/>
      <c r="BA67" s="267"/>
      <c r="BB67" s="267"/>
      <c r="BC67" s="267"/>
      <c r="BD67" s="267"/>
      <c r="BE67" s="267"/>
      <c r="BF67" s="267"/>
      <c r="BG67" s="286"/>
      <c r="BH67" s="58"/>
      <c r="BI67" s="314"/>
      <c r="BJ67" s="315"/>
      <c r="BK67" s="315"/>
      <c r="BL67" s="315"/>
      <c r="BM67" s="315"/>
      <c r="BN67" s="316"/>
      <c r="BO67" s="58"/>
      <c r="BP67" s="58"/>
      <c r="BQ67" s="58"/>
      <c r="BR67" s="58"/>
      <c r="BS67" s="58"/>
      <c r="BT67" s="58"/>
      <c r="BU67" s="58"/>
      <c r="BV67" s="58"/>
      <c r="BW67" s="58"/>
      <c r="BX67" s="58"/>
      <c r="BY67" s="58"/>
      <c r="BZ67" s="58"/>
      <c r="CA67" s="58"/>
      <c r="CB67" s="58"/>
      <c r="CC67" s="58"/>
      <c r="CD67" s="58"/>
      <c r="CE67" s="58"/>
      <c r="CF67" s="58"/>
      <c r="CG67" s="58"/>
      <c r="CH67" s="58"/>
      <c r="CI67" s="58"/>
      <c r="CJ67" s="58"/>
      <c r="CK67" s="58"/>
      <c r="CL67" s="58"/>
      <c r="CM67" s="58"/>
      <c r="CN67" s="58"/>
      <c r="CO67" s="58"/>
      <c r="CP67" s="58"/>
      <c r="CQ67" s="58"/>
      <c r="CR67" s="58"/>
      <c r="CS67" s="58"/>
      <c r="CT67" s="58"/>
      <c r="CU67" s="58"/>
      <c r="CV67" s="58"/>
    </row>
    <row r="68" spans="1:100" ht="15" customHeight="1" x14ac:dyDescent="0.25">
      <c r="A68" s="58"/>
      <c r="B68" s="356"/>
      <c r="C68" s="356"/>
      <c r="D68" s="357"/>
      <c r="E68" s="331"/>
      <c r="F68" s="332"/>
      <c r="G68" s="332"/>
      <c r="H68" s="332"/>
      <c r="I68" s="333"/>
      <c r="J68" s="265" t="str">
        <f>IF(AND('Mapa final'!$K$22="Baja",'Mapa final'!$O$22="Leve"),CONCATENATE("R",'Mapa final'!$A$22),"")</f>
        <v/>
      </c>
      <c r="K68" s="266"/>
      <c r="L68" s="266" t="str">
        <f>IF(AND('Mapa final'!$K$25="Baja",'Mapa final'!$O$25="Leve"),CONCATENATE("R",'Mapa final'!$A$25),"")</f>
        <v/>
      </c>
      <c r="M68" s="266"/>
      <c r="N68" s="266" t="str">
        <f>IF(AND('Mapa final'!$K$28="Baja",'Mapa final'!$O$28="Leve"),CONCATENATE("R",'Mapa final'!$A$28),"")</f>
        <v/>
      </c>
      <c r="O68" s="266"/>
      <c r="P68" s="266" t="str">
        <f>IF(AND('Mapa final'!$K$31="Baja",'Mapa final'!$O$31="Leve"),CONCATENATE("R",'Mapa final'!$A$31),"")</f>
        <v/>
      </c>
      <c r="Q68" s="266"/>
      <c r="R68" s="266" t="str">
        <f>IF(AND('Mapa final'!$K$34="Baja",'Mapa final'!$O$34="Leve"),CONCATENATE("R",'Mapa final'!$A$34),"")</f>
        <v/>
      </c>
      <c r="S68" s="266"/>
      <c r="T68" s="272" t="str">
        <f>IF(AND('Mapa final'!$K$22="Baja",'Mapa final'!$O$22="Menor"),CONCATENATE("R",'Mapa final'!$A$22),"")</f>
        <v/>
      </c>
      <c r="U68" s="270"/>
      <c r="V68" s="270" t="str">
        <f>IF(AND('Mapa final'!$K$25="Baja",'Mapa final'!$O$25="Menor"),CONCATENATE("R",'Mapa final'!$A$25),"")</f>
        <v/>
      </c>
      <c r="W68" s="270"/>
      <c r="X68" s="270" t="str">
        <f>IF(AND('Mapa final'!$K$28="Baja",'Mapa final'!$O$28="Menor"),CONCATENATE("R",'Mapa final'!$A$28),"")</f>
        <v/>
      </c>
      <c r="Y68" s="270"/>
      <c r="Z68" s="270" t="str">
        <f>IF(AND('Mapa final'!$K$31="Baja",'Mapa final'!$O$31="Menor"),CONCATENATE("R",'Mapa final'!$A$31),"")</f>
        <v/>
      </c>
      <c r="AA68" s="270"/>
      <c r="AB68" s="270" t="str">
        <f>IF(AND('Mapa final'!$K$34="Baja",'Mapa final'!$O$34="Menor"),CONCATENATE("R",'Mapa final'!$A$34),"")</f>
        <v/>
      </c>
      <c r="AC68" s="271"/>
      <c r="AD68" s="272" t="str">
        <f>IF(AND('Mapa final'!$K$22="Baja",'Mapa final'!$O$22="Moderado"),CONCATENATE("R",'Mapa final'!$A$22),"")</f>
        <v/>
      </c>
      <c r="AE68" s="270"/>
      <c r="AF68" s="270" t="str">
        <f>IF(AND('Mapa final'!$K$25="Baja",'Mapa final'!$O$25="Moderado"),CONCATENATE("R",'Mapa final'!$A$25),"")</f>
        <v/>
      </c>
      <c r="AG68" s="270"/>
      <c r="AH68" s="270" t="str">
        <f>IF(AND('Mapa final'!$K$28="Baja",'Mapa final'!$O$28="Moderado"),CONCATENATE("R",'Mapa final'!$A$28),"")</f>
        <v/>
      </c>
      <c r="AI68" s="270"/>
      <c r="AJ68" s="270" t="str">
        <f>IF(AND('Mapa final'!$K$31="Baja",'Mapa final'!$O$31="Moderado"),CONCATENATE("R",'Mapa final'!$A$31),"")</f>
        <v/>
      </c>
      <c r="AK68" s="270"/>
      <c r="AL68" s="270" t="str">
        <f>IF(AND('Mapa final'!$K$34="Baja",'Mapa final'!$O$34="Moderado"),CONCATENATE("R",'Mapa final'!$A$34),"")</f>
        <v/>
      </c>
      <c r="AM68" s="271"/>
      <c r="AN68" s="275" t="str">
        <f>IF(AND('Mapa final'!$K$22="Baja",'Mapa final'!$O$22="Mayor"),CONCATENATE("R",'Mapa final'!$A$22),"")</f>
        <v/>
      </c>
      <c r="AO68" s="273"/>
      <c r="AP68" s="273" t="str">
        <f>IF(AND('Mapa final'!$K$25="Baja",'Mapa final'!$O$25="Mayor"),CONCATENATE("R",'Mapa final'!$A$25),"")</f>
        <v/>
      </c>
      <c r="AQ68" s="273"/>
      <c r="AR68" s="273" t="str">
        <f>IF(AND('Mapa final'!$K$28="Baja",'Mapa final'!$O$28="Mayor"),CONCATENATE("R",'Mapa final'!$A$28),"")</f>
        <v/>
      </c>
      <c r="AS68" s="273"/>
      <c r="AT68" s="273" t="str">
        <f>IF(AND('Mapa final'!$K$31="Baja",'Mapa final'!$O$31="Mayor"),CONCATENATE("R",'Mapa final'!$A$31),"")</f>
        <v/>
      </c>
      <c r="AU68" s="273"/>
      <c r="AV68" s="273" t="str">
        <f>IF(AND('Mapa final'!$K$34="Baja",'Mapa final'!$O$34="Mayor"),CONCATENATE("R",'Mapa final'!$A$34),"")</f>
        <v/>
      </c>
      <c r="AW68" s="273"/>
      <c r="AX68" s="285" t="str">
        <f>IF(AND('Mapa final'!$K$22="Baja",'Mapa final'!$O$22="Catastrófico"),CONCATENATE("R",'Mapa final'!$A$22),"")</f>
        <v/>
      </c>
      <c r="AY68" s="267"/>
      <c r="AZ68" s="267" t="str">
        <f>IF(AND('Mapa final'!$K$25="Baja",'Mapa final'!$O$25="Catastrófico"),CONCATENATE("R",'Mapa final'!$A$25),"")</f>
        <v/>
      </c>
      <c r="BA68" s="267"/>
      <c r="BB68" s="267" t="str">
        <f>IF(AND('Mapa final'!$K$28="Baja",'Mapa final'!$O$28="Catastrófico"),CONCATENATE("R",'Mapa final'!$A$28),"")</f>
        <v/>
      </c>
      <c r="BC68" s="267"/>
      <c r="BD68" s="267" t="str">
        <f>IF(AND('Mapa final'!$K$31="Baja",'Mapa final'!$O$31="Catastrófico"),CONCATENATE("R",'Mapa final'!$A$31),"")</f>
        <v/>
      </c>
      <c r="BE68" s="267"/>
      <c r="BF68" s="267" t="str">
        <f>IF(AND('Mapa final'!$K$34="Baja",'Mapa final'!$O$34="Catastrófico"),CONCATENATE("R",'Mapa final'!$A$34),"")</f>
        <v/>
      </c>
      <c r="BG68" s="286"/>
      <c r="BH68" s="58"/>
      <c r="BI68" s="314"/>
      <c r="BJ68" s="315"/>
      <c r="BK68" s="315"/>
      <c r="BL68" s="315"/>
      <c r="BM68" s="315"/>
      <c r="BN68" s="316"/>
      <c r="BO68" s="58"/>
      <c r="BP68" s="58"/>
      <c r="BQ68" s="58"/>
      <c r="BR68" s="58"/>
      <c r="BS68" s="58"/>
      <c r="BT68" s="58"/>
      <c r="BU68" s="58"/>
      <c r="BV68" s="58"/>
      <c r="BW68" s="58"/>
      <c r="BX68" s="58"/>
      <c r="BY68" s="58"/>
      <c r="BZ68" s="58"/>
      <c r="CA68" s="58"/>
      <c r="CB68" s="58"/>
      <c r="CC68" s="58"/>
      <c r="CD68" s="58"/>
      <c r="CE68" s="58"/>
      <c r="CF68" s="58"/>
      <c r="CG68" s="58"/>
      <c r="CH68" s="58"/>
      <c r="CI68" s="58"/>
      <c r="CJ68" s="58"/>
      <c r="CK68" s="58"/>
      <c r="CL68" s="58"/>
      <c r="CM68" s="58"/>
      <c r="CN68" s="58"/>
      <c r="CO68" s="58"/>
      <c r="CP68" s="58"/>
      <c r="CQ68" s="58"/>
      <c r="CR68" s="58"/>
      <c r="CS68" s="58"/>
      <c r="CT68" s="58"/>
      <c r="CU68" s="58"/>
      <c r="CV68" s="58"/>
    </row>
    <row r="69" spans="1:100" ht="15" customHeight="1" x14ac:dyDescent="0.25">
      <c r="A69" s="58"/>
      <c r="B69" s="356"/>
      <c r="C69" s="356"/>
      <c r="D69" s="357"/>
      <c r="E69" s="331"/>
      <c r="F69" s="332"/>
      <c r="G69" s="332"/>
      <c r="H69" s="332"/>
      <c r="I69" s="333"/>
      <c r="J69" s="265"/>
      <c r="K69" s="266"/>
      <c r="L69" s="266"/>
      <c r="M69" s="266"/>
      <c r="N69" s="266"/>
      <c r="O69" s="266"/>
      <c r="P69" s="266"/>
      <c r="Q69" s="266"/>
      <c r="R69" s="266"/>
      <c r="S69" s="266"/>
      <c r="T69" s="272"/>
      <c r="U69" s="270"/>
      <c r="V69" s="270"/>
      <c r="W69" s="270"/>
      <c r="X69" s="270"/>
      <c r="Y69" s="270"/>
      <c r="Z69" s="270"/>
      <c r="AA69" s="270"/>
      <c r="AB69" s="270"/>
      <c r="AC69" s="271"/>
      <c r="AD69" s="272"/>
      <c r="AE69" s="270"/>
      <c r="AF69" s="270"/>
      <c r="AG69" s="270"/>
      <c r="AH69" s="270"/>
      <c r="AI69" s="270"/>
      <c r="AJ69" s="270"/>
      <c r="AK69" s="270"/>
      <c r="AL69" s="270"/>
      <c r="AM69" s="271"/>
      <c r="AN69" s="275"/>
      <c r="AO69" s="273"/>
      <c r="AP69" s="273"/>
      <c r="AQ69" s="273"/>
      <c r="AR69" s="273"/>
      <c r="AS69" s="273"/>
      <c r="AT69" s="273"/>
      <c r="AU69" s="273"/>
      <c r="AV69" s="273"/>
      <c r="AW69" s="273"/>
      <c r="AX69" s="285"/>
      <c r="AY69" s="267"/>
      <c r="AZ69" s="267"/>
      <c r="BA69" s="267"/>
      <c r="BB69" s="267"/>
      <c r="BC69" s="267"/>
      <c r="BD69" s="267"/>
      <c r="BE69" s="267"/>
      <c r="BF69" s="267"/>
      <c r="BG69" s="286"/>
      <c r="BH69" s="58"/>
      <c r="BI69" s="314"/>
      <c r="BJ69" s="315"/>
      <c r="BK69" s="315"/>
      <c r="BL69" s="315"/>
      <c r="BM69" s="315"/>
      <c r="BN69" s="316"/>
      <c r="BO69" s="58"/>
      <c r="BP69" s="58"/>
      <c r="BQ69" s="58"/>
      <c r="BR69" s="58"/>
      <c r="BS69" s="58"/>
      <c r="BT69" s="58"/>
      <c r="BU69" s="58"/>
      <c r="BV69" s="58"/>
      <c r="BW69" s="58"/>
      <c r="BX69" s="58"/>
      <c r="BY69" s="58"/>
      <c r="BZ69" s="58"/>
      <c r="CA69" s="58"/>
      <c r="CB69" s="58"/>
      <c r="CC69" s="58"/>
      <c r="CD69" s="58"/>
      <c r="CE69" s="58"/>
      <c r="CF69" s="58"/>
      <c r="CG69" s="58"/>
      <c r="CH69" s="58"/>
      <c r="CI69" s="58"/>
      <c r="CJ69" s="58"/>
      <c r="CK69" s="58"/>
      <c r="CL69" s="58"/>
      <c r="CM69" s="58"/>
      <c r="CN69" s="58"/>
      <c r="CO69" s="58"/>
      <c r="CP69" s="58"/>
      <c r="CQ69" s="58"/>
      <c r="CR69" s="58"/>
      <c r="CS69" s="58"/>
      <c r="CT69" s="58"/>
      <c r="CU69" s="58"/>
      <c r="CV69" s="58"/>
    </row>
    <row r="70" spans="1:100" ht="15" customHeight="1" x14ac:dyDescent="0.25">
      <c r="A70" s="58"/>
      <c r="B70" s="356"/>
      <c r="C70" s="356"/>
      <c r="D70" s="357"/>
      <c r="E70" s="331"/>
      <c r="F70" s="332"/>
      <c r="G70" s="332"/>
      <c r="H70" s="332"/>
      <c r="I70" s="333"/>
      <c r="J70" s="265" t="str">
        <f>IF(AND('Mapa final'!$K$37="Baja",'Mapa final'!$O$37="Leve"),CONCATENATE("R",'Mapa final'!$A$37),"")</f>
        <v/>
      </c>
      <c r="K70" s="266"/>
      <c r="L70" s="266" t="str">
        <f>IF(AND('Mapa final'!$K$40="Baja",'Mapa final'!$O$40="Leve"),CONCATENATE("R",'Mapa final'!$A$40),"")</f>
        <v/>
      </c>
      <c r="M70" s="266"/>
      <c r="N70" s="266" t="str">
        <f>IF(AND('Mapa final'!$K$43="Baja",'Mapa final'!$O$43="Leve"),CONCATENATE("R",'Mapa final'!$A$43),"")</f>
        <v/>
      </c>
      <c r="O70" s="266"/>
      <c r="P70" s="266" t="e">
        <f>IF(AND('Mapa final'!#REF!="Baja",'Mapa final'!#REF!="Leve"),CONCATENATE("R",'Mapa final'!#REF!),"")</f>
        <v>#REF!</v>
      </c>
      <c r="Q70" s="266"/>
      <c r="R70" s="266" t="str">
        <f>IF(AND('Mapa final'!$K$46="Baja",'Mapa final'!$O$46="Leve"),CONCATENATE("R",'Mapa final'!$A$46),"")</f>
        <v/>
      </c>
      <c r="S70" s="266"/>
      <c r="T70" s="272" t="str">
        <f>IF(AND('Mapa final'!$K$37="Baja",'Mapa final'!$O$37="Menor"),CONCATENATE("R",'Mapa final'!$A$37),"")</f>
        <v/>
      </c>
      <c r="U70" s="270"/>
      <c r="V70" s="270" t="str">
        <f>IF(AND('Mapa final'!$K$40="Baja",'Mapa final'!$O$40="Menor"),CONCATENATE("R",'Mapa final'!$A$40),"")</f>
        <v/>
      </c>
      <c r="W70" s="270"/>
      <c r="X70" s="270" t="str">
        <f>IF(AND('Mapa final'!$K$43="Baja",'Mapa final'!$O$43="Menor"),CONCATENATE("R",'Mapa final'!$A$43),"")</f>
        <v/>
      </c>
      <c r="Y70" s="270"/>
      <c r="Z70" s="270" t="e">
        <f>IF(AND('Mapa final'!#REF!="Baja",'Mapa final'!#REF!="Menor"),CONCATENATE("R",'Mapa final'!#REF!),"")</f>
        <v>#REF!</v>
      </c>
      <c r="AA70" s="270"/>
      <c r="AB70" s="270" t="str">
        <f>IF(AND('Mapa final'!$K$46="Baja",'Mapa final'!$O$46="Menor"),CONCATENATE("R",'Mapa final'!$A$46),"")</f>
        <v/>
      </c>
      <c r="AC70" s="271"/>
      <c r="AD70" s="272" t="str">
        <f>IF(AND('Mapa final'!$K$37="Baja",'Mapa final'!$O$37="Moderado"),CONCATENATE("R",'Mapa final'!$A$37),"")</f>
        <v/>
      </c>
      <c r="AE70" s="270"/>
      <c r="AF70" s="270" t="str">
        <f>IF(AND('Mapa final'!$K$40="Baja",'Mapa final'!$O$40="Moderado"),CONCATENATE("R",'Mapa final'!$A$40),"")</f>
        <v>R12</v>
      </c>
      <c r="AG70" s="270"/>
      <c r="AH70" s="270" t="str">
        <f>IF(AND('Mapa final'!$K$43="Baja",'Mapa final'!$O$43="Moderado"),CONCATENATE("R",'Mapa final'!$A$43),"")</f>
        <v/>
      </c>
      <c r="AI70" s="270"/>
      <c r="AJ70" s="270" t="e">
        <f>IF(AND('Mapa final'!#REF!="Baja",'Mapa final'!#REF!="Moderado"),CONCATENATE("R",'Mapa final'!#REF!),"")</f>
        <v>#REF!</v>
      </c>
      <c r="AK70" s="270"/>
      <c r="AL70" s="270" t="str">
        <f>IF(AND('Mapa final'!$K$46="Baja",'Mapa final'!$O$46="Moderado"),CONCATENATE("R",'Mapa final'!$A$46),"")</f>
        <v>R14</v>
      </c>
      <c r="AM70" s="271"/>
      <c r="AN70" s="275" t="str">
        <f>IF(AND('Mapa final'!$K$37="Baja",'Mapa final'!$O$37="Mayor"),CONCATENATE("R",'Mapa final'!$A$37),"")</f>
        <v>R11</v>
      </c>
      <c r="AO70" s="273"/>
      <c r="AP70" s="273" t="str">
        <f>IF(AND('Mapa final'!$K$40="Baja",'Mapa final'!$O$40="Mayor"),CONCATENATE("R",'Mapa final'!$A$40),"")</f>
        <v/>
      </c>
      <c r="AQ70" s="273"/>
      <c r="AR70" s="273" t="str">
        <f>IF(AND('Mapa final'!$K$43="Baja",'Mapa final'!$O$43="Mayor"),CONCATENATE("R",'Mapa final'!$A$43),"")</f>
        <v/>
      </c>
      <c r="AS70" s="273"/>
      <c r="AT70" s="273" t="e">
        <f>IF(AND('Mapa final'!#REF!="Baja",'Mapa final'!#REF!="Mayor"),CONCATENATE("R",'Mapa final'!#REF!),"")</f>
        <v>#REF!</v>
      </c>
      <c r="AU70" s="273"/>
      <c r="AV70" s="273" t="str">
        <f>IF(AND('Mapa final'!$K$46="Baja",'Mapa final'!$O$46="Mayor"),CONCATENATE("R",'Mapa final'!$A$46),"")</f>
        <v/>
      </c>
      <c r="AW70" s="273"/>
      <c r="AX70" s="285" t="str">
        <f>IF(AND('Mapa final'!$K$37="Baja",'Mapa final'!$O$37="Catastrófico"),CONCATENATE("R",'Mapa final'!$A$37),"")</f>
        <v/>
      </c>
      <c r="AY70" s="267"/>
      <c r="AZ70" s="267" t="str">
        <f>IF(AND('Mapa final'!$K$40="Baja",'Mapa final'!$O$40="Catastrófico"),CONCATENATE("R",'Mapa final'!$A$40),"")</f>
        <v/>
      </c>
      <c r="BA70" s="267"/>
      <c r="BB70" s="267" t="str">
        <f>IF(AND('Mapa final'!$K$43="Baja",'Mapa final'!$O$43="Catastrófico"),CONCATENATE("R",'Mapa final'!$A$43),"")</f>
        <v/>
      </c>
      <c r="BC70" s="267"/>
      <c r="BD70" s="267" t="e">
        <f>IF(AND('Mapa final'!#REF!="Baja",'Mapa final'!#REF!="Catastrófico"),CONCATENATE("R",'Mapa final'!#REF!),"")</f>
        <v>#REF!</v>
      </c>
      <c r="BE70" s="267"/>
      <c r="BF70" s="267" t="str">
        <f>IF(AND('Mapa final'!$K$46="Baja",'Mapa final'!$O$46="Catastrófico"),CONCATENATE("R",'Mapa final'!$A$46),"")</f>
        <v/>
      </c>
      <c r="BG70" s="286"/>
      <c r="BH70" s="58"/>
      <c r="BI70" s="314"/>
      <c r="BJ70" s="315"/>
      <c r="BK70" s="315"/>
      <c r="BL70" s="315"/>
      <c r="BM70" s="315"/>
      <c r="BN70" s="316"/>
      <c r="BO70" s="58"/>
      <c r="BP70" s="58"/>
      <c r="BQ70" s="58"/>
      <c r="BR70" s="58"/>
      <c r="BS70" s="58"/>
      <c r="BT70" s="58"/>
      <c r="BU70" s="58"/>
      <c r="BV70" s="58"/>
      <c r="BW70" s="58"/>
      <c r="BX70" s="58"/>
      <c r="BY70" s="58"/>
      <c r="BZ70" s="58"/>
      <c r="CA70" s="58"/>
      <c r="CB70" s="58"/>
      <c r="CC70" s="58"/>
      <c r="CD70" s="58"/>
      <c r="CE70" s="58"/>
      <c r="CF70" s="58"/>
      <c r="CG70" s="58"/>
      <c r="CH70" s="58"/>
      <c r="CI70" s="58"/>
      <c r="CJ70" s="58"/>
      <c r="CK70" s="58"/>
      <c r="CL70" s="58"/>
      <c r="CM70" s="58"/>
      <c r="CN70" s="58"/>
      <c r="CO70" s="58"/>
      <c r="CP70" s="58"/>
      <c r="CQ70" s="58"/>
      <c r="CR70" s="58"/>
      <c r="CS70" s="58"/>
      <c r="CT70" s="58"/>
      <c r="CU70" s="58"/>
      <c r="CV70" s="58"/>
    </row>
    <row r="71" spans="1:100" ht="15" customHeight="1" x14ac:dyDescent="0.25">
      <c r="A71" s="58"/>
      <c r="B71" s="356"/>
      <c r="C71" s="356"/>
      <c r="D71" s="357"/>
      <c r="E71" s="331"/>
      <c r="F71" s="332"/>
      <c r="G71" s="332"/>
      <c r="H71" s="332"/>
      <c r="I71" s="333"/>
      <c r="J71" s="265"/>
      <c r="K71" s="266"/>
      <c r="L71" s="266"/>
      <c r="M71" s="266"/>
      <c r="N71" s="266"/>
      <c r="O71" s="266"/>
      <c r="P71" s="266"/>
      <c r="Q71" s="266"/>
      <c r="R71" s="266"/>
      <c r="S71" s="266"/>
      <c r="T71" s="272"/>
      <c r="U71" s="270"/>
      <c r="V71" s="270"/>
      <c r="W71" s="270"/>
      <c r="X71" s="270"/>
      <c r="Y71" s="270"/>
      <c r="Z71" s="270"/>
      <c r="AA71" s="270"/>
      <c r="AB71" s="270"/>
      <c r="AC71" s="271"/>
      <c r="AD71" s="272"/>
      <c r="AE71" s="270"/>
      <c r="AF71" s="270"/>
      <c r="AG71" s="270"/>
      <c r="AH71" s="270"/>
      <c r="AI71" s="270"/>
      <c r="AJ71" s="270"/>
      <c r="AK71" s="270"/>
      <c r="AL71" s="270"/>
      <c r="AM71" s="271"/>
      <c r="AN71" s="275"/>
      <c r="AO71" s="273"/>
      <c r="AP71" s="273"/>
      <c r="AQ71" s="273"/>
      <c r="AR71" s="273"/>
      <c r="AS71" s="273"/>
      <c r="AT71" s="273"/>
      <c r="AU71" s="273"/>
      <c r="AV71" s="273"/>
      <c r="AW71" s="273"/>
      <c r="AX71" s="285"/>
      <c r="AY71" s="267"/>
      <c r="AZ71" s="267"/>
      <c r="BA71" s="267"/>
      <c r="BB71" s="267"/>
      <c r="BC71" s="267"/>
      <c r="BD71" s="267"/>
      <c r="BE71" s="267"/>
      <c r="BF71" s="267"/>
      <c r="BG71" s="286"/>
      <c r="BH71" s="58"/>
      <c r="BI71" s="314"/>
      <c r="BJ71" s="315"/>
      <c r="BK71" s="315"/>
      <c r="BL71" s="315"/>
      <c r="BM71" s="315"/>
      <c r="BN71" s="316"/>
      <c r="BO71" s="58"/>
      <c r="BP71" s="58"/>
      <c r="BQ71" s="58"/>
      <c r="BR71" s="58"/>
      <c r="BS71" s="58"/>
      <c r="BT71" s="58"/>
      <c r="BU71" s="58"/>
      <c r="BV71" s="58"/>
      <c r="BW71" s="58"/>
      <c r="BX71" s="58"/>
      <c r="BY71" s="58"/>
      <c r="BZ71" s="58"/>
      <c r="CA71" s="58"/>
      <c r="CB71" s="58"/>
      <c r="CC71" s="58"/>
      <c r="CD71" s="58"/>
      <c r="CE71" s="58"/>
      <c r="CF71" s="58"/>
      <c r="CG71" s="58"/>
      <c r="CH71" s="58"/>
      <c r="CI71" s="58"/>
      <c r="CJ71" s="58"/>
      <c r="CK71" s="58"/>
      <c r="CL71" s="58"/>
      <c r="CM71" s="58"/>
      <c r="CN71" s="58"/>
      <c r="CO71" s="58"/>
      <c r="CP71" s="58"/>
      <c r="CQ71" s="58"/>
      <c r="CR71" s="58"/>
      <c r="CS71" s="58"/>
      <c r="CT71" s="58"/>
      <c r="CU71" s="58"/>
      <c r="CV71" s="58"/>
    </row>
    <row r="72" spans="1:100" ht="15" customHeight="1" x14ac:dyDescent="0.25">
      <c r="A72" s="58"/>
      <c r="B72" s="356"/>
      <c r="C72" s="356"/>
      <c r="D72" s="357"/>
      <c r="E72" s="331"/>
      <c r="F72" s="332"/>
      <c r="G72" s="332"/>
      <c r="H72" s="332"/>
      <c r="I72" s="333"/>
      <c r="J72" s="265" t="str">
        <f>IF(AND('Mapa final'!$K$49="Baja",'Mapa final'!$O$49="Leve"),CONCATENATE("R",'Mapa final'!$A$49),"")</f>
        <v/>
      </c>
      <c r="K72" s="266"/>
      <c r="L72" s="266" t="str">
        <f>IF(AND('Mapa final'!$K$52="Baja",'Mapa final'!$O$52="Leve"),CONCATENATE("R",'Mapa final'!$A$52),"")</f>
        <v/>
      </c>
      <c r="M72" s="266"/>
      <c r="N72" s="266" t="str">
        <f>IF(AND('Mapa final'!$K$55="Baja",'Mapa final'!$O$55="Leve"),CONCATENATE("R",'Mapa final'!$A$55),"")</f>
        <v/>
      </c>
      <c r="O72" s="266"/>
      <c r="P72" s="266" t="str">
        <f>IF(AND('Mapa final'!$K$58="Baja",'Mapa final'!$O$58="Leve"),CONCATENATE("R",'Mapa final'!$A$58),"")</f>
        <v/>
      </c>
      <c r="Q72" s="266"/>
      <c r="R72" s="266" t="str">
        <f>IF(AND('Mapa final'!$K$61="Baja",'Mapa final'!$O$61="Leve"),CONCATENATE("R",'Mapa final'!$A$61),"")</f>
        <v/>
      </c>
      <c r="S72" s="266"/>
      <c r="T72" s="272" t="str">
        <f>IF(AND('Mapa final'!$K$49="Baja",'Mapa final'!$O$49="Menor"),CONCATENATE("R",'Mapa final'!$A$49),"")</f>
        <v/>
      </c>
      <c r="U72" s="270"/>
      <c r="V72" s="270" t="str">
        <f>IF(AND('Mapa final'!$K$52="Baja",'Mapa final'!$O$52="Menor"),CONCATENATE("R",'Mapa final'!$A$52),"")</f>
        <v/>
      </c>
      <c r="W72" s="270"/>
      <c r="X72" s="270" t="str">
        <f>IF(AND('Mapa final'!$K$55="Baja",'Mapa final'!$O$55="Menor"),CONCATENATE("R",'Mapa final'!$A$55),"")</f>
        <v/>
      </c>
      <c r="Y72" s="270"/>
      <c r="Z72" s="270" t="str">
        <f>IF(AND('Mapa final'!$K$58="Baja",'Mapa final'!$O$58="Menor"),CONCATENATE("R",'Mapa final'!$A$58),"")</f>
        <v/>
      </c>
      <c r="AA72" s="270"/>
      <c r="AB72" s="270" t="str">
        <f>IF(AND('Mapa final'!$K$61="Baja",'Mapa final'!$O$61="Menor"),CONCATENATE("R",'Mapa final'!$A$61),"")</f>
        <v/>
      </c>
      <c r="AC72" s="271"/>
      <c r="AD72" s="272" t="str">
        <f>IF(AND('Mapa final'!$K$49="Baja",'Mapa final'!$O$49="Moderado"),CONCATENATE("R",'Mapa final'!$A$49),"")</f>
        <v/>
      </c>
      <c r="AE72" s="270"/>
      <c r="AF72" s="270" t="str">
        <f>IF(AND('Mapa final'!$K$52="Baja",'Mapa final'!$O$52="Moderado"),CONCATENATE("R",'Mapa final'!$A$52),"")</f>
        <v/>
      </c>
      <c r="AG72" s="270"/>
      <c r="AH72" s="270" t="str">
        <f>IF(AND('Mapa final'!$K$55="Baja",'Mapa final'!$O$55="Moderado"),CONCATENATE("R",'Mapa final'!$A$55),"")</f>
        <v/>
      </c>
      <c r="AI72" s="270"/>
      <c r="AJ72" s="270" t="str">
        <f>IF(AND('Mapa final'!$K$58="Baja",'Mapa final'!$O$58="Moderado"),CONCATENATE("R",'Mapa final'!$A$58),"")</f>
        <v/>
      </c>
      <c r="AK72" s="270"/>
      <c r="AL72" s="270" t="str">
        <f>IF(AND('Mapa final'!$K$61="Baja",'Mapa final'!$O$61="Moderado"),CONCATENATE("R",'Mapa final'!$A$61),"")</f>
        <v/>
      </c>
      <c r="AM72" s="271"/>
      <c r="AN72" s="275" t="str">
        <f>IF(AND('Mapa final'!$K$49="Baja",'Mapa final'!$O$49="Mayor"),CONCATENATE("R",'Mapa final'!$A$49),"")</f>
        <v/>
      </c>
      <c r="AO72" s="273"/>
      <c r="AP72" s="273" t="str">
        <f>IF(AND('Mapa final'!$K$52="Baja",'Mapa final'!$O$52="Mayor"),CONCATENATE("R",'Mapa final'!$A$52),"")</f>
        <v/>
      </c>
      <c r="AQ72" s="273"/>
      <c r="AR72" s="273" t="str">
        <f>IF(AND('Mapa final'!$K$55="Baja",'Mapa final'!$O$55="Mayor"),CONCATENATE("R",'Mapa final'!$A$55),"")</f>
        <v/>
      </c>
      <c r="AS72" s="273"/>
      <c r="AT72" s="273" t="str">
        <f>IF(AND('Mapa final'!$K$58="Baja",'Mapa final'!$O$58="Mayor"),CONCATENATE("R",'Mapa final'!$A$58),"")</f>
        <v/>
      </c>
      <c r="AU72" s="273"/>
      <c r="AV72" s="273" t="str">
        <f>IF(AND('Mapa final'!$K$61="Baja",'Mapa final'!$O$61="Mayor"),CONCATENATE("R",'Mapa final'!$A$61),"")</f>
        <v/>
      </c>
      <c r="AW72" s="273"/>
      <c r="AX72" s="285" t="str">
        <f>IF(AND('Mapa final'!$K$49="Baja",'Mapa final'!$O$49="Catastrófico"),CONCATENATE("R",'Mapa final'!$A$49),"")</f>
        <v/>
      </c>
      <c r="AY72" s="267"/>
      <c r="AZ72" s="267" t="str">
        <f>IF(AND('Mapa final'!$K$52="Baja",'Mapa final'!$O$52="Catastrófico"),CONCATENATE("R",'Mapa final'!$A$52),"")</f>
        <v/>
      </c>
      <c r="BA72" s="267"/>
      <c r="BB72" s="267" t="str">
        <f>IF(AND('Mapa final'!$K$55="Baja",'Mapa final'!$O$55="Catastrófico"),CONCATENATE("R",'Mapa final'!$A$55),"")</f>
        <v/>
      </c>
      <c r="BC72" s="267"/>
      <c r="BD72" s="267" t="str">
        <f>IF(AND('Mapa final'!$K$58="Baja",'Mapa final'!$O$58="Catastrófico"),CONCATENATE("R",'Mapa final'!$A$58),"")</f>
        <v/>
      </c>
      <c r="BE72" s="267"/>
      <c r="BF72" s="267" t="str">
        <f>IF(AND('Mapa final'!$K$61="Baja",'Mapa final'!$O$61="Catastrófico"),CONCATENATE("R",'Mapa final'!$A$61),"")</f>
        <v/>
      </c>
      <c r="BG72" s="286"/>
      <c r="BH72" s="58"/>
      <c r="BI72" s="314"/>
      <c r="BJ72" s="315"/>
      <c r="BK72" s="315"/>
      <c r="BL72" s="315"/>
      <c r="BM72" s="315"/>
      <c r="BN72" s="316"/>
      <c r="BO72" s="58"/>
      <c r="BP72" s="58"/>
      <c r="BQ72" s="58"/>
      <c r="BR72" s="58"/>
      <c r="BS72" s="58"/>
      <c r="BT72" s="58"/>
      <c r="BU72" s="58"/>
      <c r="BV72" s="58"/>
      <c r="BW72" s="58"/>
      <c r="BX72" s="58"/>
      <c r="BY72" s="58"/>
      <c r="BZ72" s="58"/>
      <c r="CA72" s="58"/>
      <c r="CB72" s="58"/>
      <c r="CC72" s="58"/>
      <c r="CD72" s="58"/>
      <c r="CE72" s="58"/>
      <c r="CF72" s="58"/>
      <c r="CG72" s="58"/>
      <c r="CH72" s="58"/>
      <c r="CI72" s="58"/>
      <c r="CJ72" s="58"/>
      <c r="CK72" s="58"/>
      <c r="CL72" s="58"/>
      <c r="CM72" s="58"/>
      <c r="CN72" s="58"/>
      <c r="CO72" s="58"/>
      <c r="CP72" s="58"/>
      <c r="CQ72" s="58"/>
      <c r="CR72" s="58"/>
      <c r="CS72" s="58"/>
      <c r="CT72" s="58"/>
      <c r="CU72" s="58"/>
      <c r="CV72" s="58"/>
    </row>
    <row r="73" spans="1:100" ht="15" customHeight="1" thickBot="1" x14ac:dyDescent="0.3">
      <c r="A73" s="58"/>
      <c r="B73" s="356"/>
      <c r="C73" s="356"/>
      <c r="D73" s="357"/>
      <c r="E73" s="331"/>
      <c r="F73" s="332"/>
      <c r="G73" s="332"/>
      <c r="H73" s="332"/>
      <c r="I73" s="333"/>
      <c r="J73" s="265"/>
      <c r="K73" s="266"/>
      <c r="L73" s="266"/>
      <c r="M73" s="266"/>
      <c r="N73" s="266"/>
      <c r="O73" s="266"/>
      <c r="P73" s="266"/>
      <c r="Q73" s="266"/>
      <c r="R73" s="266"/>
      <c r="S73" s="266"/>
      <c r="T73" s="272"/>
      <c r="U73" s="270"/>
      <c r="V73" s="270"/>
      <c r="W73" s="270"/>
      <c r="X73" s="270"/>
      <c r="Y73" s="270"/>
      <c r="Z73" s="270"/>
      <c r="AA73" s="270"/>
      <c r="AB73" s="270"/>
      <c r="AC73" s="271"/>
      <c r="AD73" s="272"/>
      <c r="AE73" s="270"/>
      <c r="AF73" s="270"/>
      <c r="AG73" s="270"/>
      <c r="AH73" s="270"/>
      <c r="AI73" s="270"/>
      <c r="AJ73" s="270"/>
      <c r="AK73" s="270"/>
      <c r="AL73" s="270"/>
      <c r="AM73" s="271"/>
      <c r="AN73" s="275"/>
      <c r="AO73" s="273"/>
      <c r="AP73" s="273"/>
      <c r="AQ73" s="273"/>
      <c r="AR73" s="273"/>
      <c r="AS73" s="273"/>
      <c r="AT73" s="273"/>
      <c r="AU73" s="273"/>
      <c r="AV73" s="273"/>
      <c r="AW73" s="273"/>
      <c r="AX73" s="285"/>
      <c r="AY73" s="267"/>
      <c r="AZ73" s="267"/>
      <c r="BA73" s="267"/>
      <c r="BB73" s="267"/>
      <c r="BC73" s="267"/>
      <c r="BD73" s="267"/>
      <c r="BE73" s="267"/>
      <c r="BF73" s="267"/>
      <c r="BG73" s="286"/>
      <c r="BH73" s="58"/>
      <c r="BI73" s="317"/>
      <c r="BJ73" s="318"/>
      <c r="BK73" s="318"/>
      <c r="BL73" s="318"/>
      <c r="BM73" s="318"/>
      <c r="BN73" s="319"/>
      <c r="BO73" s="58"/>
      <c r="BP73" s="58"/>
      <c r="BQ73" s="58"/>
      <c r="BR73" s="58"/>
      <c r="BS73" s="58"/>
      <c r="BT73" s="58"/>
      <c r="BU73" s="58"/>
      <c r="BV73" s="58"/>
      <c r="BW73" s="58"/>
      <c r="BX73" s="58"/>
      <c r="BY73" s="58"/>
      <c r="BZ73" s="58"/>
      <c r="CA73" s="58"/>
      <c r="CB73" s="58"/>
      <c r="CC73" s="58"/>
      <c r="CD73" s="58"/>
      <c r="CE73" s="58"/>
      <c r="CF73" s="58"/>
      <c r="CG73" s="58"/>
      <c r="CH73" s="58"/>
      <c r="CI73" s="58"/>
      <c r="CJ73" s="58"/>
      <c r="CK73" s="58"/>
      <c r="CL73" s="58"/>
      <c r="CM73" s="58"/>
      <c r="CN73" s="58"/>
      <c r="CO73" s="58"/>
      <c r="CP73" s="58"/>
      <c r="CQ73" s="58"/>
      <c r="CR73" s="58"/>
      <c r="CS73" s="58"/>
      <c r="CT73" s="58"/>
      <c r="CU73" s="58"/>
      <c r="CV73" s="58"/>
    </row>
    <row r="74" spans="1:100" ht="15" customHeight="1" x14ac:dyDescent="0.25">
      <c r="A74" s="58"/>
      <c r="B74" s="356"/>
      <c r="C74" s="356"/>
      <c r="D74" s="357"/>
      <c r="E74" s="331"/>
      <c r="F74" s="332"/>
      <c r="G74" s="332"/>
      <c r="H74" s="332"/>
      <c r="I74" s="333"/>
      <c r="J74" s="265" t="str">
        <f>IF(AND('Mapa final'!$K$64="Baja",'Mapa final'!$O$64="Leve"),CONCATENATE("R",'Mapa final'!$A$64),"")</f>
        <v/>
      </c>
      <c r="K74" s="266"/>
      <c r="L74" s="266" t="str">
        <f>IF(AND('Mapa final'!$K$67="Baja",'Mapa final'!$O$67="Leve"),CONCATENATE("R",'Mapa final'!$A$67),"")</f>
        <v>R21</v>
      </c>
      <c r="M74" s="266"/>
      <c r="N74" s="266" t="str">
        <f>IF(AND('Mapa final'!$K$70="Baja",'Mapa final'!$O$70="Leve"),CONCATENATE("R",'Mapa final'!$A$70),"")</f>
        <v/>
      </c>
      <c r="O74" s="266"/>
      <c r="P74" s="266" t="str">
        <f>IF(AND('Mapa final'!$K$73="Baja",'Mapa final'!$O$73="Leve"),CONCATENATE("R",'Mapa final'!$A$73),"")</f>
        <v/>
      </c>
      <c r="Q74" s="266"/>
      <c r="R74" s="266" t="str">
        <f>IF(AND('Mapa final'!$K$76="Baja",'Mapa final'!$O$76="Leve"),CONCATENATE("R",'Mapa final'!$A$76),"")</f>
        <v/>
      </c>
      <c r="S74" s="266"/>
      <c r="T74" s="272" t="str">
        <f>IF(AND('Mapa final'!$K$64="Baja",'Mapa final'!$O$64="Menor"),CONCATENATE("R",'Mapa final'!$A$64),"")</f>
        <v/>
      </c>
      <c r="U74" s="270"/>
      <c r="V74" s="270" t="str">
        <f>IF(AND('Mapa final'!$K$67="Baja",'Mapa final'!$O$67="Menor"),CONCATENATE("R",'Mapa final'!$A$67),"")</f>
        <v/>
      </c>
      <c r="W74" s="270"/>
      <c r="X74" s="270" t="str">
        <f>IF(AND('Mapa final'!$K$70="Baja",'Mapa final'!$O$70="Menor"),CONCATENATE("R",'Mapa final'!$A$70),"")</f>
        <v>R22</v>
      </c>
      <c r="Y74" s="270"/>
      <c r="Z74" s="270" t="str">
        <f>IF(AND('Mapa final'!$K$73="Baja",'Mapa final'!$O$73="Menor"),CONCATENATE("R",'Mapa final'!$A$73),"")</f>
        <v/>
      </c>
      <c r="AA74" s="270"/>
      <c r="AB74" s="270" t="str">
        <f>IF(AND('Mapa final'!$K$76="Baja",'Mapa final'!$O$76="Menor"),CONCATENATE("R",'Mapa final'!$A$76),"")</f>
        <v/>
      </c>
      <c r="AC74" s="271"/>
      <c r="AD74" s="272" t="str">
        <f>IF(AND('Mapa final'!$K$64="Baja",'Mapa final'!$O$64="Moderado"),CONCATENATE("R",'Mapa final'!$A$64),"")</f>
        <v/>
      </c>
      <c r="AE74" s="270"/>
      <c r="AF74" s="270" t="str">
        <f>IF(AND('Mapa final'!$K$67="Baja",'Mapa final'!$O$67="Moderado"),CONCATENATE("R",'Mapa final'!$A$67),"")</f>
        <v/>
      </c>
      <c r="AG74" s="270"/>
      <c r="AH74" s="270" t="str">
        <f>IF(AND('Mapa final'!$K$70="Baja",'Mapa final'!$O$70="Moderado"),CONCATENATE("R",'Mapa final'!$A$70),"")</f>
        <v/>
      </c>
      <c r="AI74" s="270"/>
      <c r="AJ74" s="270" t="str">
        <f>IF(AND('Mapa final'!$K$73="Baja",'Mapa final'!$O$73="Moderado"),CONCATENATE("R",'Mapa final'!$A$73),"")</f>
        <v/>
      </c>
      <c r="AK74" s="270"/>
      <c r="AL74" s="270" t="str">
        <f>IF(AND('Mapa final'!$K$76="Baja",'Mapa final'!$O$76="Moderado"),CONCATENATE("R",'Mapa final'!$A$76),"")</f>
        <v>R24</v>
      </c>
      <c r="AM74" s="271"/>
      <c r="AN74" s="275" t="str">
        <f>IF(AND('Mapa final'!$K$64="Baja",'Mapa final'!$O$64="Mayor"),CONCATENATE("R",'Mapa final'!$A$64),"")</f>
        <v/>
      </c>
      <c r="AO74" s="273"/>
      <c r="AP74" s="273" t="str">
        <f>IF(AND('Mapa final'!$K$67="Baja",'Mapa final'!$O$67="Mayor"),CONCATENATE("R",'Mapa final'!$A$67),"")</f>
        <v/>
      </c>
      <c r="AQ74" s="273"/>
      <c r="AR74" s="273" t="str">
        <f>IF(AND('Mapa final'!$K$70="Baja",'Mapa final'!$O$70="Mayor"),CONCATENATE("R",'Mapa final'!$A$70),"")</f>
        <v/>
      </c>
      <c r="AS74" s="273"/>
      <c r="AT74" s="273" t="str">
        <f>IF(AND('Mapa final'!$K$73="Baja",'Mapa final'!$O$73="Mayor"),CONCATENATE("R",'Mapa final'!$A$73),"")</f>
        <v/>
      </c>
      <c r="AU74" s="273"/>
      <c r="AV74" s="273" t="str">
        <f>IF(AND('Mapa final'!$K$76="Baja",'Mapa final'!$O$76="Mayor"),CONCATENATE("R",'Mapa final'!$A$76),"")</f>
        <v/>
      </c>
      <c r="AW74" s="273"/>
      <c r="AX74" s="285" t="str">
        <f>IF(AND('Mapa final'!$K$64="Baja",'Mapa final'!$O$64="Catastrófico"),CONCATENATE("R",'Mapa final'!$A$64),"")</f>
        <v/>
      </c>
      <c r="AY74" s="267"/>
      <c r="AZ74" s="267" t="str">
        <f>IF(AND('Mapa final'!$K$67="Baja",'Mapa final'!$O$67="Catastrófico"),CONCATENATE("R",'Mapa final'!$A$67),"")</f>
        <v/>
      </c>
      <c r="BA74" s="267"/>
      <c r="BB74" s="267" t="str">
        <f>IF(AND('Mapa final'!$K$70="Baja",'Mapa final'!$O$70="Catastrófico"),CONCATENATE("R",'Mapa final'!$A$70),"")</f>
        <v/>
      </c>
      <c r="BC74" s="267"/>
      <c r="BD74" s="267" t="str">
        <f>IF(AND('Mapa final'!$K$73="Baja",'Mapa final'!$O$73="Catastrófico"),CONCATENATE("R",'Mapa final'!$A$73),"")</f>
        <v/>
      </c>
      <c r="BE74" s="267"/>
      <c r="BF74" s="267" t="str">
        <f>IF(AND('Mapa final'!$K$76="Baja",'Mapa final'!$O$76="Catastrófico"),CONCATENATE("R",'Mapa final'!$A$76),"")</f>
        <v/>
      </c>
      <c r="BG74" s="286"/>
      <c r="BH74" s="58"/>
      <c r="BI74" s="320" t="s">
        <v>76</v>
      </c>
      <c r="BJ74" s="321"/>
      <c r="BK74" s="321"/>
      <c r="BL74" s="321"/>
      <c r="BM74" s="321"/>
      <c r="BN74" s="322"/>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row>
    <row r="75" spans="1:100" ht="15" customHeight="1" x14ac:dyDescent="0.25">
      <c r="A75" s="58"/>
      <c r="B75" s="356"/>
      <c r="C75" s="356"/>
      <c r="D75" s="357"/>
      <c r="E75" s="331"/>
      <c r="F75" s="332"/>
      <c r="G75" s="332"/>
      <c r="H75" s="332"/>
      <c r="I75" s="333"/>
      <c r="J75" s="265"/>
      <c r="K75" s="266"/>
      <c r="L75" s="266"/>
      <c r="M75" s="266"/>
      <c r="N75" s="266"/>
      <c r="O75" s="266"/>
      <c r="P75" s="266"/>
      <c r="Q75" s="266"/>
      <c r="R75" s="266"/>
      <c r="S75" s="266"/>
      <c r="T75" s="272"/>
      <c r="U75" s="270"/>
      <c r="V75" s="270"/>
      <c r="W75" s="270"/>
      <c r="X75" s="270"/>
      <c r="Y75" s="270"/>
      <c r="Z75" s="270"/>
      <c r="AA75" s="270"/>
      <c r="AB75" s="270"/>
      <c r="AC75" s="271"/>
      <c r="AD75" s="272"/>
      <c r="AE75" s="270"/>
      <c r="AF75" s="270"/>
      <c r="AG75" s="270"/>
      <c r="AH75" s="270"/>
      <c r="AI75" s="270"/>
      <c r="AJ75" s="270"/>
      <c r="AK75" s="270"/>
      <c r="AL75" s="270"/>
      <c r="AM75" s="271"/>
      <c r="AN75" s="275"/>
      <c r="AO75" s="273"/>
      <c r="AP75" s="273"/>
      <c r="AQ75" s="273"/>
      <c r="AR75" s="273"/>
      <c r="AS75" s="273"/>
      <c r="AT75" s="273"/>
      <c r="AU75" s="273"/>
      <c r="AV75" s="273"/>
      <c r="AW75" s="273"/>
      <c r="AX75" s="285"/>
      <c r="AY75" s="267"/>
      <c r="AZ75" s="267"/>
      <c r="BA75" s="267"/>
      <c r="BB75" s="267"/>
      <c r="BC75" s="267"/>
      <c r="BD75" s="267"/>
      <c r="BE75" s="267"/>
      <c r="BF75" s="267"/>
      <c r="BG75" s="286"/>
      <c r="BH75" s="58"/>
      <c r="BI75" s="323"/>
      <c r="BJ75" s="324"/>
      <c r="BK75" s="324"/>
      <c r="BL75" s="324"/>
      <c r="BM75" s="324"/>
      <c r="BN75" s="325"/>
      <c r="BO75" s="58"/>
      <c r="BP75" s="58"/>
      <c r="BQ75" s="58"/>
      <c r="BR75" s="58"/>
      <c r="BS75" s="58"/>
      <c r="BT75" s="58"/>
      <c r="BU75" s="58"/>
      <c r="BV75" s="58"/>
      <c r="BW75" s="58"/>
      <c r="BX75" s="58"/>
      <c r="BY75" s="58"/>
      <c r="BZ75" s="58"/>
      <c r="CA75" s="58"/>
      <c r="CB75" s="58"/>
      <c r="CC75" s="58"/>
      <c r="CD75" s="58"/>
      <c r="CE75" s="58"/>
      <c r="CF75" s="58"/>
      <c r="CG75" s="58"/>
      <c r="CH75" s="58"/>
      <c r="CI75" s="58"/>
      <c r="CJ75" s="58"/>
      <c r="CK75" s="58"/>
      <c r="CL75" s="58"/>
      <c r="CM75" s="58"/>
      <c r="CN75" s="58"/>
      <c r="CO75" s="58"/>
      <c r="CP75" s="58"/>
      <c r="CQ75" s="58"/>
      <c r="CR75" s="58"/>
      <c r="CS75" s="58"/>
      <c r="CT75" s="58"/>
      <c r="CU75" s="58"/>
      <c r="CV75" s="58"/>
    </row>
    <row r="76" spans="1:100" ht="15" customHeight="1" x14ac:dyDescent="0.25">
      <c r="A76" s="58"/>
      <c r="B76" s="356"/>
      <c r="C76" s="356"/>
      <c r="D76" s="357"/>
      <c r="E76" s="331"/>
      <c r="F76" s="332"/>
      <c r="G76" s="332"/>
      <c r="H76" s="332"/>
      <c r="I76" s="333"/>
      <c r="J76" s="265" t="str">
        <f>IF(AND('Mapa final'!$K$79="Baja",'Mapa final'!$O$79="Leve"),CONCATENATE("R",'Mapa final'!$A$79),"")</f>
        <v/>
      </c>
      <c r="K76" s="266"/>
      <c r="L76" s="266" t="str">
        <f>IF(AND('Mapa final'!$K$82="Baja",'Mapa final'!$O$82="Leve"),CONCATENATE("R",'Mapa final'!$A$82),"")</f>
        <v/>
      </c>
      <c r="M76" s="266"/>
      <c r="N76" s="266" t="str">
        <f>IF(AND('Mapa final'!$K$85="Baja",'Mapa final'!$O$85="Leve"),CONCATENATE("R",'Mapa final'!$A$85),"")</f>
        <v/>
      </c>
      <c r="O76" s="266"/>
      <c r="P76" s="266" t="str">
        <f>IF(AND('Mapa final'!$K$88="Baja",'Mapa final'!$O$88="Leve"),CONCATENATE("R",'Mapa final'!$A$88),"")</f>
        <v/>
      </c>
      <c r="Q76" s="266"/>
      <c r="R76" s="266" t="str">
        <f>IF(AND('Mapa final'!$K$91="Baja",'Mapa final'!$O$91="Leve"),CONCATENATE("R",'Mapa final'!$A$91),"")</f>
        <v/>
      </c>
      <c r="S76" s="266"/>
      <c r="T76" s="272" t="str">
        <f>IF(AND('Mapa final'!$K$79="Baja",'Mapa final'!$O$79="Menor"),CONCATENATE("R",'Mapa final'!$A$79),"")</f>
        <v/>
      </c>
      <c r="U76" s="270"/>
      <c r="V76" s="270" t="str">
        <f>IF(AND('Mapa final'!$K$82="Baja",'Mapa final'!$O$82="Menor"),CONCATENATE("R",'Mapa final'!$A$82),"")</f>
        <v/>
      </c>
      <c r="W76" s="270"/>
      <c r="X76" s="270" t="str">
        <f>IF(AND('Mapa final'!$K$85="Baja",'Mapa final'!$O$85="Menor"),CONCATENATE("R",'Mapa final'!$A$85),"")</f>
        <v/>
      </c>
      <c r="Y76" s="270"/>
      <c r="Z76" s="270" t="str">
        <f>IF(AND('Mapa final'!$K$88="Baja",'Mapa final'!$O$88="Menor"),CONCATENATE("R",'Mapa final'!$A$88),"")</f>
        <v/>
      </c>
      <c r="AA76" s="270"/>
      <c r="AB76" s="270" t="str">
        <f>IF(AND('Mapa final'!$K$91="Baja",'Mapa final'!$O$91="Menor"),CONCATENATE("R",'Mapa final'!$A$91),"")</f>
        <v/>
      </c>
      <c r="AC76" s="271"/>
      <c r="AD76" s="272" t="str">
        <f>IF(AND('Mapa final'!$K$79="Baja",'Mapa final'!$O$79="Moderado"),CONCATENATE("R",'Mapa final'!$A$79),"")</f>
        <v>R25</v>
      </c>
      <c r="AE76" s="270"/>
      <c r="AF76" s="270" t="str">
        <f>IF(AND('Mapa final'!$K$82="Baja",'Mapa final'!$O$82="Moderado"),CONCATENATE("R",'Mapa final'!$A$82),"")</f>
        <v/>
      </c>
      <c r="AG76" s="270"/>
      <c r="AH76" s="270" t="str">
        <f>IF(AND('Mapa final'!$K$85="Baja",'Mapa final'!$O$85="Moderado"),CONCATENATE("R",'Mapa final'!$A$85),"")</f>
        <v/>
      </c>
      <c r="AI76" s="270"/>
      <c r="AJ76" s="270" t="str">
        <f>IF(AND('Mapa final'!$K$88="Baja",'Mapa final'!$O$88="Moderado"),CONCATENATE("R",'Mapa final'!$A$88),"")</f>
        <v/>
      </c>
      <c r="AK76" s="270"/>
      <c r="AL76" s="270" t="str">
        <f>IF(AND('Mapa final'!$K$91="Baja",'Mapa final'!$O$91="Moderado"),CONCATENATE("R",'Mapa final'!$A$91),"")</f>
        <v/>
      </c>
      <c r="AM76" s="271"/>
      <c r="AN76" s="275" t="str">
        <f>IF(AND('Mapa final'!$K$79="Baja",'Mapa final'!$O$79="Mayor"),CONCATENATE("R",'Mapa final'!$A$79),"")</f>
        <v/>
      </c>
      <c r="AO76" s="273"/>
      <c r="AP76" s="273" t="str">
        <f>IF(AND('Mapa final'!$K$82="Baja",'Mapa final'!$O$82="Mayor"),CONCATENATE("R",'Mapa final'!$A$82),"")</f>
        <v/>
      </c>
      <c r="AQ76" s="273"/>
      <c r="AR76" s="273" t="str">
        <f>IF(AND('Mapa final'!$K$85="Baja",'Mapa final'!$O$85="Mayor"),CONCATENATE("R",'Mapa final'!$A$85),"")</f>
        <v/>
      </c>
      <c r="AS76" s="273"/>
      <c r="AT76" s="273" t="str">
        <f>IF(AND('Mapa final'!$K$88="Baja",'Mapa final'!$O$88="Mayor"),CONCATENATE("R",'Mapa final'!$A$88),"")</f>
        <v/>
      </c>
      <c r="AU76" s="273"/>
      <c r="AV76" s="273" t="str">
        <f>IF(AND('Mapa final'!$K$91="Baja",'Mapa final'!$O$91="Mayor"),CONCATENATE("R",'Mapa final'!$A$91),"")</f>
        <v/>
      </c>
      <c r="AW76" s="273"/>
      <c r="AX76" s="285" t="str">
        <f>IF(AND('Mapa final'!$K$79="Baja",'Mapa final'!$O$79="Catastrófico"),CONCATENATE("R",'Mapa final'!$A$79),"")</f>
        <v/>
      </c>
      <c r="AY76" s="267"/>
      <c r="AZ76" s="267" t="str">
        <f>IF(AND('Mapa final'!$K$82="Baja",'Mapa final'!$O$82="Catastrófico"),CONCATENATE("R",'Mapa final'!$A$82),"")</f>
        <v/>
      </c>
      <c r="BA76" s="267"/>
      <c r="BB76" s="267" t="str">
        <f>IF(AND('Mapa final'!$K$85="Baja",'Mapa final'!$O$85="Catastrófico"),CONCATENATE("R",'Mapa final'!$A$85),"")</f>
        <v/>
      </c>
      <c r="BC76" s="267"/>
      <c r="BD76" s="267" t="str">
        <f>IF(AND('Mapa final'!$K$88="Baja",'Mapa final'!$O$88="Catastrófico"),CONCATENATE("R",'Mapa final'!$A$88),"")</f>
        <v/>
      </c>
      <c r="BE76" s="267"/>
      <c r="BF76" s="267" t="str">
        <f>IF(AND('Mapa final'!$K$91="Baja",'Mapa final'!$O$91="Catastrófico"),CONCATENATE("R",'Mapa final'!$A$91),"")</f>
        <v/>
      </c>
      <c r="BG76" s="286"/>
      <c r="BH76" s="58"/>
      <c r="BI76" s="323"/>
      <c r="BJ76" s="324"/>
      <c r="BK76" s="324"/>
      <c r="BL76" s="324"/>
      <c r="BM76" s="324"/>
      <c r="BN76" s="325"/>
      <c r="BO76" s="58"/>
      <c r="BP76" s="58"/>
      <c r="BQ76" s="58"/>
      <c r="BR76" s="58"/>
      <c r="BS76" s="58"/>
      <c r="BT76" s="58"/>
      <c r="BU76" s="58"/>
      <c r="BV76" s="58"/>
      <c r="BW76" s="58"/>
      <c r="BX76" s="58"/>
      <c r="BY76" s="58"/>
      <c r="BZ76" s="58"/>
      <c r="CA76" s="58"/>
      <c r="CB76" s="58"/>
      <c r="CC76" s="58"/>
      <c r="CD76" s="58"/>
      <c r="CE76" s="58"/>
      <c r="CF76" s="58"/>
      <c r="CG76" s="58"/>
      <c r="CH76" s="58"/>
      <c r="CI76" s="58"/>
      <c r="CJ76" s="58"/>
      <c r="CK76" s="58"/>
      <c r="CL76" s="58"/>
      <c r="CM76" s="58"/>
      <c r="CN76" s="58"/>
      <c r="CO76" s="58"/>
      <c r="CP76" s="58"/>
      <c r="CQ76" s="58"/>
      <c r="CR76" s="58"/>
      <c r="CS76" s="58"/>
      <c r="CT76" s="58"/>
      <c r="CU76" s="58"/>
      <c r="CV76" s="58"/>
    </row>
    <row r="77" spans="1:100" ht="15" customHeight="1" x14ac:dyDescent="0.25">
      <c r="A77" s="58"/>
      <c r="B77" s="356"/>
      <c r="C77" s="356"/>
      <c r="D77" s="357"/>
      <c r="E77" s="331"/>
      <c r="F77" s="332"/>
      <c r="G77" s="332"/>
      <c r="H77" s="332"/>
      <c r="I77" s="333"/>
      <c r="J77" s="265"/>
      <c r="K77" s="266"/>
      <c r="L77" s="266"/>
      <c r="M77" s="266"/>
      <c r="N77" s="266"/>
      <c r="O77" s="266"/>
      <c r="P77" s="266"/>
      <c r="Q77" s="266"/>
      <c r="R77" s="266"/>
      <c r="S77" s="266"/>
      <c r="T77" s="272"/>
      <c r="U77" s="270"/>
      <c r="V77" s="270"/>
      <c r="W77" s="270"/>
      <c r="X77" s="270"/>
      <c r="Y77" s="270"/>
      <c r="Z77" s="270"/>
      <c r="AA77" s="270"/>
      <c r="AB77" s="270"/>
      <c r="AC77" s="271"/>
      <c r="AD77" s="272"/>
      <c r="AE77" s="270"/>
      <c r="AF77" s="270"/>
      <c r="AG77" s="270"/>
      <c r="AH77" s="270"/>
      <c r="AI77" s="270"/>
      <c r="AJ77" s="270"/>
      <c r="AK77" s="270"/>
      <c r="AL77" s="270"/>
      <c r="AM77" s="271"/>
      <c r="AN77" s="275"/>
      <c r="AO77" s="273"/>
      <c r="AP77" s="273"/>
      <c r="AQ77" s="273"/>
      <c r="AR77" s="273"/>
      <c r="AS77" s="273"/>
      <c r="AT77" s="273"/>
      <c r="AU77" s="273"/>
      <c r="AV77" s="273"/>
      <c r="AW77" s="273"/>
      <c r="AX77" s="285"/>
      <c r="AY77" s="267"/>
      <c r="AZ77" s="267"/>
      <c r="BA77" s="267"/>
      <c r="BB77" s="267"/>
      <c r="BC77" s="267"/>
      <c r="BD77" s="267"/>
      <c r="BE77" s="267"/>
      <c r="BF77" s="267"/>
      <c r="BG77" s="286"/>
      <c r="BH77" s="58"/>
      <c r="BI77" s="323"/>
      <c r="BJ77" s="324"/>
      <c r="BK77" s="324"/>
      <c r="BL77" s="324"/>
      <c r="BM77" s="324"/>
      <c r="BN77" s="325"/>
      <c r="BO77" s="58"/>
      <c r="BP77" s="58"/>
      <c r="BQ77" s="58"/>
      <c r="BR77" s="58"/>
      <c r="BS77" s="58"/>
      <c r="BT77" s="58"/>
      <c r="BU77" s="58"/>
      <c r="BV77" s="58"/>
      <c r="BW77" s="58"/>
      <c r="BX77" s="58"/>
      <c r="BY77" s="58"/>
      <c r="BZ77" s="58"/>
      <c r="CA77" s="58"/>
      <c r="CB77" s="58"/>
      <c r="CC77" s="58"/>
      <c r="CD77" s="58"/>
      <c r="CE77" s="58"/>
      <c r="CF77" s="58"/>
      <c r="CG77" s="58"/>
      <c r="CH77" s="58"/>
      <c r="CI77" s="58"/>
      <c r="CJ77" s="58"/>
      <c r="CK77" s="58"/>
      <c r="CL77" s="58"/>
      <c r="CM77" s="58"/>
      <c r="CN77" s="58"/>
      <c r="CO77" s="58"/>
      <c r="CP77" s="58"/>
      <c r="CQ77" s="58"/>
      <c r="CR77" s="58"/>
      <c r="CS77" s="58"/>
      <c r="CT77" s="58"/>
      <c r="CU77" s="58"/>
      <c r="CV77" s="58"/>
    </row>
    <row r="78" spans="1:100" ht="15" customHeight="1" x14ac:dyDescent="0.25">
      <c r="A78" s="58"/>
      <c r="B78" s="356"/>
      <c r="C78" s="356"/>
      <c r="D78" s="357"/>
      <c r="E78" s="331"/>
      <c r="F78" s="332"/>
      <c r="G78" s="332"/>
      <c r="H78" s="332"/>
      <c r="I78" s="333"/>
      <c r="J78" s="265" t="str">
        <f>IF(AND('Mapa final'!$K$94="Baja",'Mapa final'!$O$94="Leve"),CONCATENATE("R",'Mapa final'!$A$94),"")</f>
        <v/>
      </c>
      <c r="K78" s="266"/>
      <c r="L78" s="266" t="str">
        <f>IF(AND('Mapa final'!$K$97="Baja",'Mapa final'!$O$97="Leve"),CONCATENATE("R",'Mapa final'!$A$97),"")</f>
        <v/>
      </c>
      <c r="M78" s="266"/>
      <c r="N78" s="266" t="str">
        <f>IF(AND('Mapa final'!$K$100="Baja",'Mapa final'!$O$100="Leve"),CONCATENATE("R",'Mapa final'!$A$100),"")</f>
        <v/>
      </c>
      <c r="O78" s="266"/>
      <c r="P78" s="266" t="str">
        <f>IF(AND('Mapa final'!$K$103="Baja",'Mapa final'!$O$103="Leve"),CONCATENATE("R",'Mapa final'!$A$103),"")</f>
        <v/>
      </c>
      <c r="Q78" s="266"/>
      <c r="R78" s="266" t="str">
        <f>IF(AND('Mapa final'!$K$106="Baja",'Mapa final'!$O$106="Leve"),CONCATENATE("R",'Mapa final'!$A$106),"")</f>
        <v/>
      </c>
      <c r="S78" s="266"/>
      <c r="T78" s="272" t="str">
        <f>IF(AND('Mapa final'!$K$94="Baja",'Mapa final'!$O$94="Menor"),CONCATENATE("R",'Mapa final'!$A$94),"")</f>
        <v/>
      </c>
      <c r="U78" s="270"/>
      <c r="V78" s="270" t="str">
        <f>IF(AND('Mapa final'!$K$97="Baja",'Mapa final'!$O$97="Menor"),CONCATENATE("R",'Mapa final'!$A$97),"")</f>
        <v/>
      </c>
      <c r="W78" s="270"/>
      <c r="X78" s="270" t="str">
        <f>IF(AND('Mapa final'!$K$100="Baja",'Mapa final'!$O$100="Menor"),CONCATENATE("R",'Mapa final'!$A$100),"")</f>
        <v/>
      </c>
      <c r="Y78" s="270"/>
      <c r="Z78" s="270" t="str">
        <f>IF(AND('Mapa final'!$K$103="Baja",'Mapa final'!$O$103="Menor"),CONCATENATE("R",'Mapa final'!$A$103),"")</f>
        <v/>
      </c>
      <c r="AA78" s="270"/>
      <c r="AB78" s="270" t="str">
        <f>IF(AND('Mapa final'!$K$106="Baja",'Mapa final'!$O$106="Menor"),CONCATENATE("R",'Mapa final'!$A$106),"")</f>
        <v/>
      </c>
      <c r="AC78" s="271"/>
      <c r="AD78" s="272" t="str">
        <f>IF(AND('Mapa final'!$K$94="Baja",'Mapa final'!$O$94="Moderado"),CONCATENATE("R",'Mapa final'!$A$94),"")</f>
        <v>R30</v>
      </c>
      <c r="AE78" s="270"/>
      <c r="AF78" s="270" t="str">
        <f>IF(AND('Mapa final'!$K$97="Baja",'Mapa final'!$O$97="Moderado"),CONCATENATE("R",'Mapa final'!$A$97),"")</f>
        <v/>
      </c>
      <c r="AG78" s="270"/>
      <c r="AH78" s="270" t="str">
        <f>IF(AND('Mapa final'!$K$100="Baja",'Mapa final'!$O$100="Moderado"),CONCATENATE("R",'Mapa final'!$A$100),"")</f>
        <v/>
      </c>
      <c r="AI78" s="270"/>
      <c r="AJ78" s="270" t="str">
        <f>IF(AND('Mapa final'!$K$103="Baja",'Mapa final'!$O$103="Moderado"),CONCATENATE("R",'Mapa final'!$A$103),"")</f>
        <v/>
      </c>
      <c r="AK78" s="270"/>
      <c r="AL78" s="270" t="str">
        <f>IF(AND('Mapa final'!$K$106="Baja",'Mapa final'!$O$106="Moderado"),CONCATENATE("R",'Mapa final'!$A$106),"")</f>
        <v/>
      </c>
      <c r="AM78" s="271"/>
      <c r="AN78" s="275" t="str">
        <f>IF(AND('Mapa final'!$K$94="Baja",'Mapa final'!$O$94="Mayor"),CONCATENATE("R",'Mapa final'!$A$94),"")</f>
        <v/>
      </c>
      <c r="AO78" s="273"/>
      <c r="AP78" s="273" t="str">
        <f>IF(AND('Mapa final'!$K$97="Baja",'Mapa final'!$O$97="Mayor"),CONCATENATE("R",'Mapa final'!$A$97),"")</f>
        <v/>
      </c>
      <c r="AQ78" s="273"/>
      <c r="AR78" s="273" t="str">
        <f>IF(AND('Mapa final'!$K$100="Baja",'Mapa final'!$O$100="Mayor"),CONCATENATE("R",'Mapa final'!$A$100),"")</f>
        <v/>
      </c>
      <c r="AS78" s="273"/>
      <c r="AT78" s="273" t="str">
        <f>IF(AND('Mapa final'!$K$103="Baja",'Mapa final'!$O$103="Mayor"),CONCATENATE("R",'Mapa final'!$A$103),"")</f>
        <v/>
      </c>
      <c r="AU78" s="273"/>
      <c r="AV78" s="273" t="str">
        <f>IF(AND('Mapa final'!$K$106="Baja",'Mapa final'!$O$106="Mayor"),CONCATENATE("R",'Mapa final'!$A$106),"")</f>
        <v/>
      </c>
      <c r="AW78" s="273"/>
      <c r="AX78" s="285" t="str">
        <f>IF(AND('Mapa final'!$K$94="Baja",'Mapa final'!$O$94="Catastrófico"),CONCATENATE("R",'Mapa final'!$A$94),"")</f>
        <v/>
      </c>
      <c r="AY78" s="267"/>
      <c r="AZ78" s="267" t="str">
        <f>IF(AND('Mapa final'!$K$97="Baja",'Mapa final'!$O$97="Catastrófico"),CONCATENATE("R",'Mapa final'!$A$97),"")</f>
        <v/>
      </c>
      <c r="BA78" s="267"/>
      <c r="BB78" s="267" t="str">
        <f>IF(AND('Mapa final'!$K$100="Baja",'Mapa final'!$O$100="Catastrófico"),CONCATENATE("R",'Mapa final'!$A$100),"")</f>
        <v/>
      </c>
      <c r="BC78" s="267"/>
      <c r="BD78" s="267" t="str">
        <f>IF(AND('Mapa final'!$K$103="Baja",'Mapa final'!$O$103="Catastrófico"),CONCATENATE("R",'Mapa final'!$A$103),"")</f>
        <v/>
      </c>
      <c r="BE78" s="267"/>
      <c r="BF78" s="267" t="str">
        <f>IF(AND('Mapa final'!$K$106="Baja",'Mapa final'!$O$106="Catastrófico"),CONCATENATE("R",'Mapa final'!$A$106),"")</f>
        <v/>
      </c>
      <c r="BG78" s="286"/>
      <c r="BH78" s="58"/>
      <c r="BI78" s="323"/>
      <c r="BJ78" s="324"/>
      <c r="BK78" s="324"/>
      <c r="BL78" s="324"/>
      <c r="BM78" s="324"/>
      <c r="BN78" s="325"/>
      <c r="BO78" s="58"/>
      <c r="BP78" s="58"/>
      <c r="BQ78" s="58"/>
      <c r="BR78" s="58"/>
      <c r="BS78" s="58"/>
      <c r="BT78" s="58"/>
      <c r="BU78" s="58"/>
      <c r="BV78" s="58"/>
      <c r="BW78" s="58"/>
      <c r="BX78" s="58"/>
      <c r="BY78" s="58"/>
      <c r="BZ78" s="58"/>
      <c r="CA78" s="58"/>
      <c r="CB78" s="58"/>
      <c r="CC78" s="58"/>
      <c r="CD78" s="58"/>
      <c r="CE78" s="58"/>
      <c r="CF78" s="58"/>
      <c r="CG78" s="58"/>
      <c r="CH78" s="58"/>
      <c r="CI78" s="58"/>
      <c r="CJ78" s="58"/>
      <c r="CK78" s="58"/>
      <c r="CL78" s="58"/>
      <c r="CM78" s="58"/>
      <c r="CN78" s="58"/>
      <c r="CO78" s="58"/>
      <c r="CP78" s="58"/>
      <c r="CQ78" s="58"/>
      <c r="CR78" s="58"/>
      <c r="CS78" s="58"/>
      <c r="CT78" s="58"/>
      <c r="CU78" s="58"/>
      <c r="CV78" s="58"/>
    </row>
    <row r="79" spans="1:100" ht="15" customHeight="1" x14ac:dyDescent="0.25">
      <c r="A79" s="58"/>
      <c r="B79" s="356"/>
      <c r="C79" s="356"/>
      <c r="D79" s="357"/>
      <c r="E79" s="331"/>
      <c r="F79" s="332"/>
      <c r="G79" s="332"/>
      <c r="H79" s="332"/>
      <c r="I79" s="333"/>
      <c r="J79" s="265"/>
      <c r="K79" s="266"/>
      <c r="L79" s="266"/>
      <c r="M79" s="266"/>
      <c r="N79" s="266"/>
      <c r="O79" s="266"/>
      <c r="P79" s="266"/>
      <c r="Q79" s="266"/>
      <c r="R79" s="266"/>
      <c r="S79" s="266"/>
      <c r="T79" s="272"/>
      <c r="U79" s="270"/>
      <c r="V79" s="270"/>
      <c r="W79" s="270"/>
      <c r="X79" s="270"/>
      <c r="Y79" s="270"/>
      <c r="Z79" s="270"/>
      <c r="AA79" s="270"/>
      <c r="AB79" s="270"/>
      <c r="AC79" s="271"/>
      <c r="AD79" s="272"/>
      <c r="AE79" s="270"/>
      <c r="AF79" s="270"/>
      <c r="AG79" s="270"/>
      <c r="AH79" s="270"/>
      <c r="AI79" s="270"/>
      <c r="AJ79" s="270"/>
      <c r="AK79" s="270"/>
      <c r="AL79" s="270"/>
      <c r="AM79" s="271"/>
      <c r="AN79" s="275"/>
      <c r="AO79" s="273"/>
      <c r="AP79" s="273"/>
      <c r="AQ79" s="273"/>
      <c r="AR79" s="273"/>
      <c r="AS79" s="273"/>
      <c r="AT79" s="273"/>
      <c r="AU79" s="273"/>
      <c r="AV79" s="273"/>
      <c r="AW79" s="273"/>
      <c r="AX79" s="285"/>
      <c r="AY79" s="267"/>
      <c r="AZ79" s="267"/>
      <c r="BA79" s="267"/>
      <c r="BB79" s="267"/>
      <c r="BC79" s="267"/>
      <c r="BD79" s="267"/>
      <c r="BE79" s="267"/>
      <c r="BF79" s="267"/>
      <c r="BG79" s="286"/>
      <c r="BH79" s="58"/>
      <c r="BI79" s="323"/>
      <c r="BJ79" s="324"/>
      <c r="BK79" s="324"/>
      <c r="BL79" s="324"/>
      <c r="BM79" s="324"/>
      <c r="BN79" s="325"/>
      <c r="BO79" s="58"/>
      <c r="BP79" s="58"/>
      <c r="BQ79" s="58"/>
      <c r="BR79" s="58"/>
      <c r="BS79" s="58"/>
      <c r="BT79" s="58"/>
      <c r="BU79" s="58"/>
      <c r="BV79" s="58"/>
      <c r="BW79" s="58"/>
      <c r="BX79" s="58"/>
      <c r="BY79" s="58"/>
      <c r="BZ79" s="58"/>
      <c r="CA79" s="58"/>
      <c r="CB79" s="58"/>
      <c r="CC79" s="58"/>
      <c r="CD79" s="58"/>
      <c r="CE79" s="58"/>
      <c r="CF79" s="58"/>
      <c r="CG79" s="58"/>
      <c r="CH79" s="58"/>
      <c r="CI79" s="58"/>
      <c r="CJ79" s="58"/>
      <c r="CK79" s="58"/>
      <c r="CL79" s="58"/>
      <c r="CM79" s="58"/>
      <c r="CN79" s="58"/>
      <c r="CO79" s="58"/>
      <c r="CP79" s="58"/>
      <c r="CQ79" s="58"/>
      <c r="CR79" s="58"/>
      <c r="CS79" s="58"/>
      <c r="CT79" s="58"/>
      <c r="CU79" s="58"/>
      <c r="CV79" s="58"/>
    </row>
    <row r="80" spans="1:100" ht="15" customHeight="1" x14ac:dyDescent="0.25">
      <c r="A80" s="58"/>
      <c r="B80" s="356"/>
      <c r="C80" s="356"/>
      <c r="D80" s="357"/>
      <c r="E80" s="331"/>
      <c r="F80" s="332"/>
      <c r="G80" s="332"/>
      <c r="H80" s="332"/>
      <c r="I80" s="333"/>
      <c r="J80" s="265" t="str">
        <f>IF(AND('Mapa final'!$K$109="Baja",'Mapa final'!$O$109="Leve"),CONCATENATE("R",'Mapa final'!$A$109),"")</f>
        <v/>
      </c>
      <c r="K80" s="266"/>
      <c r="L80" s="266" t="str">
        <f>IF(AND('Mapa final'!$K$112="Baja",'Mapa final'!$O$112="Leve"),CONCATENATE("R",'Mapa final'!$A$112),"")</f>
        <v/>
      </c>
      <c r="M80" s="266"/>
      <c r="N80" s="266" t="str">
        <f>IF(AND('Mapa final'!$K$115="Baja",'Mapa final'!$O$115="Leve"),CONCATENATE("R",'Mapa final'!$A$115),"")</f>
        <v/>
      </c>
      <c r="O80" s="266"/>
      <c r="P80" s="266" t="str">
        <f>IF(AND('Mapa final'!$K$118="Baja",'Mapa final'!$O$118="Leve"),CONCATENATE("R",'Mapa final'!$A$118),"")</f>
        <v/>
      </c>
      <c r="Q80" s="266"/>
      <c r="R80" s="266" t="str">
        <f>IF(AND('Mapa final'!$K$121="Baja",'Mapa final'!$O$121="Leve"),CONCATENATE("R",'Mapa final'!$A$121),"")</f>
        <v/>
      </c>
      <c r="S80" s="266"/>
      <c r="T80" s="272" t="str">
        <f>IF(AND('Mapa final'!$K$109="Baja",'Mapa final'!$O$109="Menor"),CONCATENATE("R",'Mapa final'!$A$109),"")</f>
        <v/>
      </c>
      <c r="U80" s="270"/>
      <c r="V80" s="270" t="str">
        <f>IF(AND('Mapa final'!$K$112="Baja",'Mapa final'!$O$112="Menor"),CONCATENATE("R",'Mapa final'!$A$112),"")</f>
        <v>R36</v>
      </c>
      <c r="W80" s="270"/>
      <c r="X80" s="270" t="str">
        <f>IF(AND('Mapa final'!$K$115="Baja",'Mapa final'!$O$115="Menor"),CONCATENATE("R",'Mapa final'!$A$115),"")</f>
        <v/>
      </c>
      <c r="Y80" s="270"/>
      <c r="Z80" s="270" t="str">
        <f>IF(AND('Mapa final'!$K$118="Baja",'Mapa final'!$O$118="Menor"),CONCATENATE("R",'Mapa final'!$A$118),"")</f>
        <v/>
      </c>
      <c r="AA80" s="270"/>
      <c r="AB80" s="270" t="str">
        <f>IF(AND('Mapa final'!$K$121="Baja",'Mapa final'!$O$121="Menor"),CONCATENATE("R",'Mapa final'!$A$121),"")</f>
        <v/>
      </c>
      <c r="AC80" s="271"/>
      <c r="AD80" s="272" t="str">
        <f>IF(AND('Mapa final'!$K$109="Baja",'Mapa final'!$O$109="Moderado"),CONCATENATE("R",'Mapa final'!$A$109),"")</f>
        <v/>
      </c>
      <c r="AE80" s="270"/>
      <c r="AF80" s="270" t="str">
        <f>IF(AND('Mapa final'!$K$112="Baja",'Mapa final'!$O$112="Moderado"),CONCATENATE("R",'Mapa final'!$A$112),"")</f>
        <v/>
      </c>
      <c r="AG80" s="270"/>
      <c r="AH80" s="270" t="str">
        <f>IF(AND('Mapa final'!$K$115="Baja",'Mapa final'!$O$115="Moderado"),CONCATENATE("R",'Mapa final'!$A$115),"")</f>
        <v/>
      </c>
      <c r="AI80" s="270"/>
      <c r="AJ80" s="270" t="str">
        <f>IF(AND('Mapa final'!$K$118="Baja",'Mapa final'!$O$118="Moderado"),CONCATENATE("R",'Mapa final'!$A$118),"")</f>
        <v/>
      </c>
      <c r="AK80" s="270"/>
      <c r="AL80" s="270" t="str">
        <f>IF(AND('Mapa final'!$K$121="Baja",'Mapa final'!$O$121="Moderado"),CONCATENATE("R",'Mapa final'!$A$121),"")</f>
        <v/>
      </c>
      <c r="AM80" s="271"/>
      <c r="AN80" s="275" t="str">
        <f>IF(AND('Mapa final'!$K$109="Baja",'Mapa final'!$O$109="Mayor"),CONCATENATE("R",'Mapa final'!$A$109),"")</f>
        <v/>
      </c>
      <c r="AO80" s="273"/>
      <c r="AP80" s="273" t="str">
        <f>IF(AND('Mapa final'!$K$112="Baja",'Mapa final'!$O$112="Mayor"),CONCATENATE("R",'Mapa final'!$A$112),"")</f>
        <v/>
      </c>
      <c r="AQ80" s="273"/>
      <c r="AR80" s="273" t="str">
        <f>IF(AND('Mapa final'!$K$115="Baja",'Mapa final'!$O$115="Mayor"),CONCATENATE("R",'Mapa final'!$A$115),"")</f>
        <v/>
      </c>
      <c r="AS80" s="273"/>
      <c r="AT80" s="273" t="str">
        <f>IF(AND('Mapa final'!$K$118="Baja",'Mapa final'!$O$118="Mayor"),CONCATENATE("R",'Mapa final'!$A$118),"")</f>
        <v/>
      </c>
      <c r="AU80" s="273"/>
      <c r="AV80" s="273" t="str">
        <f>IF(AND('Mapa final'!$K$121="Baja",'Mapa final'!$O$121="Mayor"),CONCATENATE("R",'Mapa final'!$A$121),"")</f>
        <v/>
      </c>
      <c r="AW80" s="273"/>
      <c r="AX80" s="285" t="str">
        <f>IF(AND('Mapa final'!$K$109="Baja",'Mapa final'!$O$109="Catastrófico"),CONCATENATE("R",'Mapa final'!$A$109),"")</f>
        <v/>
      </c>
      <c r="AY80" s="267"/>
      <c r="AZ80" s="267" t="str">
        <f>IF(AND('Mapa final'!$K$112="Baja",'Mapa final'!$O$112="Catastrófico"),CONCATENATE("R",'Mapa final'!$A$112),"")</f>
        <v/>
      </c>
      <c r="BA80" s="267"/>
      <c r="BB80" s="267" t="str">
        <f>IF(AND('Mapa final'!$K$115="Baja",'Mapa final'!$O$115="Catastrófico"),CONCATENATE("R",'Mapa final'!$A$115),"")</f>
        <v/>
      </c>
      <c r="BC80" s="267"/>
      <c r="BD80" s="267" t="str">
        <f>IF(AND('Mapa final'!$K$118="Baja",'Mapa final'!$O$118="Catastrófico"),CONCATENATE("R",'Mapa final'!$A$118),"")</f>
        <v/>
      </c>
      <c r="BE80" s="267"/>
      <c r="BF80" s="267" t="str">
        <f>IF(AND('Mapa final'!$K$121="Baja",'Mapa final'!$O$121="Catastrófico"),CONCATENATE("R",'Mapa final'!$A$121),"")</f>
        <v/>
      </c>
      <c r="BG80" s="286"/>
      <c r="BH80" s="58"/>
      <c r="BI80" s="323"/>
      <c r="BJ80" s="324"/>
      <c r="BK80" s="324"/>
      <c r="BL80" s="324"/>
      <c r="BM80" s="324"/>
      <c r="BN80" s="325"/>
      <c r="BO80" s="58"/>
      <c r="BP80" s="58"/>
      <c r="BQ80" s="58"/>
      <c r="BR80" s="58"/>
      <c r="BS80" s="58"/>
      <c r="BT80" s="58"/>
      <c r="BU80" s="58"/>
      <c r="BV80" s="58"/>
      <c r="BW80" s="58"/>
      <c r="BX80" s="58"/>
      <c r="BY80" s="58"/>
      <c r="BZ80" s="58"/>
      <c r="CA80" s="58"/>
      <c r="CB80" s="58"/>
      <c r="CC80" s="58"/>
      <c r="CD80" s="58"/>
      <c r="CE80" s="58"/>
      <c r="CF80" s="58"/>
      <c r="CG80" s="58"/>
      <c r="CH80" s="58"/>
      <c r="CI80" s="58"/>
      <c r="CJ80" s="58"/>
      <c r="CK80" s="58"/>
      <c r="CL80" s="58"/>
      <c r="CM80" s="58"/>
      <c r="CN80" s="58"/>
      <c r="CO80" s="58"/>
      <c r="CP80" s="58"/>
      <c r="CQ80" s="58"/>
      <c r="CR80" s="58"/>
      <c r="CS80" s="58"/>
      <c r="CT80" s="58"/>
      <c r="CU80" s="58"/>
      <c r="CV80" s="58"/>
    </row>
    <row r="81" spans="1:100" ht="15" customHeight="1" x14ac:dyDescent="0.25">
      <c r="A81" s="58"/>
      <c r="B81" s="356"/>
      <c r="C81" s="356"/>
      <c r="D81" s="357"/>
      <c r="E81" s="331"/>
      <c r="F81" s="332"/>
      <c r="G81" s="332"/>
      <c r="H81" s="332"/>
      <c r="I81" s="333"/>
      <c r="J81" s="265"/>
      <c r="K81" s="266"/>
      <c r="L81" s="266"/>
      <c r="M81" s="266"/>
      <c r="N81" s="266"/>
      <c r="O81" s="266"/>
      <c r="P81" s="266"/>
      <c r="Q81" s="266"/>
      <c r="R81" s="266"/>
      <c r="S81" s="266"/>
      <c r="T81" s="272"/>
      <c r="U81" s="270"/>
      <c r="V81" s="270"/>
      <c r="W81" s="270"/>
      <c r="X81" s="270"/>
      <c r="Y81" s="270"/>
      <c r="Z81" s="270"/>
      <c r="AA81" s="270"/>
      <c r="AB81" s="270"/>
      <c r="AC81" s="271"/>
      <c r="AD81" s="272"/>
      <c r="AE81" s="270"/>
      <c r="AF81" s="270"/>
      <c r="AG81" s="270"/>
      <c r="AH81" s="270"/>
      <c r="AI81" s="270"/>
      <c r="AJ81" s="270"/>
      <c r="AK81" s="270"/>
      <c r="AL81" s="270"/>
      <c r="AM81" s="271"/>
      <c r="AN81" s="275"/>
      <c r="AO81" s="273"/>
      <c r="AP81" s="273"/>
      <c r="AQ81" s="273"/>
      <c r="AR81" s="273"/>
      <c r="AS81" s="273"/>
      <c r="AT81" s="273"/>
      <c r="AU81" s="273"/>
      <c r="AV81" s="273"/>
      <c r="AW81" s="273"/>
      <c r="AX81" s="285"/>
      <c r="AY81" s="267"/>
      <c r="AZ81" s="267"/>
      <c r="BA81" s="267"/>
      <c r="BB81" s="267"/>
      <c r="BC81" s="267"/>
      <c r="BD81" s="267"/>
      <c r="BE81" s="267"/>
      <c r="BF81" s="267"/>
      <c r="BG81" s="286"/>
      <c r="BH81" s="58"/>
      <c r="BI81" s="323"/>
      <c r="BJ81" s="324"/>
      <c r="BK81" s="324"/>
      <c r="BL81" s="324"/>
      <c r="BM81" s="324"/>
      <c r="BN81" s="325"/>
      <c r="BO81" s="58"/>
      <c r="BP81" s="58"/>
      <c r="BQ81" s="58"/>
      <c r="BR81" s="58"/>
      <c r="BS81" s="58"/>
      <c r="BT81" s="58"/>
      <c r="BU81" s="58"/>
      <c r="BV81" s="58"/>
      <c r="BW81" s="58"/>
      <c r="BX81" s="58"/>
      <c r="BY81" s="58"/>
      <c r="BZ81" s="58"/>
      <c r="CA81" s="58"/>
      <c r="CB81" s="58"/>
      <c r="CC81" s="58"/>
      <c r="CD81" s="58"/>
      <c r="CE81" s="58"/>
      <c r="CF81" s="58"/>
      <c r="CG81" s="58"/>
      <c r="CH81" s="58"/>
      <c r="CI81" s="58"/>
      <c r="CJ81" s="58"/>
      <c r="CK81" s="58"/>
      <c r="CL81" s="58"/>
      <c r="CM81" s="58"/>
      <c r="CN81" s="58"/>
      <c r="CO81" s="58"/>
      <c r="CP81" s="58"/>
      <c r="CQ81" s="58"/>
      <c r="CR81" s="58"/>
      <c r="CS81" s="58"/>
      <c r="CT81" s="58"/>
      <c r="CU81" s="58"/>
      <c r="CV81" s="58"/>
    </row>
    <row r="82" spans="1:100" ht="15" customHeight="1" x14ac:dyDescent="0.25">
      <c r="A82" s="58"/>
      <c r="B82" s="356"/>
      <c r="C82" s="356"/>
      <c r="D82" s="357"/>
      <c r="E82" s="331"/>
      <c r="F82" s="332"/>
      <c r="G82" s="332"/>
      <c r="H82" s="332"/>
      <c r="I82" s="333"/>
      <c r="J82" s="265" t="str">
        <f>IF(AND('Mapa final'!$K$124="Baja",'Mapa final'!$O$124="Leve"),CONCATENATE("R",'Mapa final'!$A$124),"")</f>
        <v/>
      </c>
      <c r="K82" s="266"/>
      <c r="L82" s="266" t="str">
        <f>IF(AND('Mapa final'!$K$127="Baja",'Mapa final'!$O$127="Leve"),CONCATENATE("R",'Mapa final'!$A$127),"")</f>
        <v/>
      </c>
      <c r="M82" s="266"/>
      <c r="N82" s="266" t="str">
        <f>IF(AND('Mapa final'!$K$130="Baja",'Mapa final'!$O$130="Leve"),CONCATENATE("R",'Mapa final'!$A$130),"")</f>
        <v/>
      </c>
      <c r="O82" s="266"/>
      <c r="P82" s="266" t="str">
        <f>IF(AND('Mapa final'!$K$133="Baja",'Mapa final'!$O$133="Leve"),CONCATENATE("R",'Mapa final'!$A$133),"")</f>
        <v/>
      </c>
      <c r="Q82" s="266"/>
      <c r="R82" s="266" t="str">
        <f>IF(AND('Mapa final'!$K$136="Baja",'Mapa final'!$O$136="Leve"),CONCATENATE("R",'Mapa final'!$A$136),"")</f>
        <v/>
      </c>
      <c r="S82" s="266"/>
      <c r="T82" s="272" t="str">
        <f>IF(AND('Mapa final'!$K$124="Baja",'Mapa final'!$O$124="Menor"),CONCATENATE("R",'Mapa final'!$A$124),"")</f>
        <v/>
      </c>
      <c r="U82" s="270"/>
      <c r="V82" s="270" t="str">
        <f>IF(AND('Mapa final'!$K$127="Baja",'Mapa final'!$O$127="Menor"),CONCATENATE("R",'Mapa final'!$A$127),"")</f>
        <v/>
      </c>
      <c r="W82" s="270"/>
      <c r="X82" s="270" t="str">
        <f>IF(AND('Mapa final'!$K$130="Baja",'Mapa final'!$O$130="Menor"),CONCATENATE("R",'Mapa final'!$A$130),"")</f>
        <v/>
      </c>
      <c r="Y82" s="270"/>
      <c r="Z82" s="270" t="str">
        <f>IF(AND('Mapa final'!$K$133="Baja",'Mapa final'!$O$133="Menor"),CONCATENATE("R",'Mapa final'!$A$133),"")</f>
        <v/>
      </c>
      <c r="AA82" s="270"/>
      <c r="AB82" s="270" t="str">
        <f>IF(AND('Mapa final'!$K$136="Baja",'Mapa final'!$O$136="Menor"),CONCATENATE("R",'Mapa final'!$A$136),"")</f>
        <v/>
      </c>
      <c r="AC82" s="271"/>
      <c r="AD82" s="272" t="str">
        <f>IF(AND('Mapa final'!$K$124="Baja",'Mapa final'!$O$124="Moderado"),CONCATENATE("R",'Mapa final'!$A$124),"")</f>
        <v/>
      </c>
      <c r="AE82" s="270"/>
      <c r="AF82" s="270" t="str">
        <f>IF(AND('Mapa final'!$K$127="Baja",'Mapa final'!$O$127="Moderado"),CONCATENATE("R",'Mapa final'!$A$127),"")</f>
        <v/>
      </c>
      <c r="AG82" s="270"/>
      <c r="AH82" s="270" t="str">
        <f>IF(AND('Mapa final'!$K$130="Baja",'Mapa final'!$O$130="Moderado"),CONCATENATE("R",'Mapa final'!$A$130),"")</f>
        <v/>
      </c>
      <c r="AI82" s="270"/>
      <c r="AJ82" s="270" t="str">
        <f>IF(AND('Mapa final'!$K$133="Baja",'Mapa final'!$O$133="Moderado"),CONCATENATE("R",'Mapa final'!$A$133),"")</f>
        <v/>
      </c>
      <c r="AK82" s="270"/>
      <c r="AL82" s="270" t="str">
        <f>IF(AND('Mapa final'!$K$136="Baja",'Mapa final'!$O$136="Moderado"),CONCATENATE("R",'Mapa final'!$A$136),"")</f>
        <v/>
      </c>
      <c r="AM82" s="271"/>
      <c r="AN82" s="275" t="str">
        <f>IF(AND('Mapa final'!$K$124="Baja",'Mapa final'!$O$124="Mayor"),CONCATENATE("R",'Mapa final'!$A$124),"")</f>
        <v/>
      </c>
      <c r="AO82" s="273"/>
      <c r="AP82" s="273" t="str">
        <f>IF(AND('Mapa final'!$K$127="Baja",'Mapa final'!$O$127="Mayor"),CONCATENATE("R",'Mapa final'!$A$127),"")</f>
        <v/>
      </c>
      <c r="AQ82" s="273"/>
      <c r="AR82" s="273" t="str">
        <f>IF(AND('Mapa final'!$K$130="Baja",'Mapa final'!$O$130="Mayor"),CONCATENATE("R",'Mapa final'!$A$130),"")</f>
        <v/>
      </c>
      <c r="AS82" s="273"/>
      <c r="AT82" s="273" t="str">
        <f>IF(AND('Mapa final'!$K$133="Baja",'Mapa final'!$O$133="Mayor"),CONCATENATE("R",'Mapa final'!$A$133),"")</f>
        <v/>
      </c>
      <c r="AU82" s="273"/>
      <c r="AV82" s="273" t="str">
        <f>IF(AND('Mapa final'!$K$136="Baja",'Mapa final'!$O$136="Mayor"),CONCATENATE("R",'Mapa final'!$A$136),"")</f>
        <v/>
      </c>
      <c r="AW82" s="273"/>
      <c r="AX82" s="285" t="str">
        <f>IF(AND('Mapa final'!$K$124="Baja",'Mapa final'!$O$124="Catastrófico"),CONCATENATE("R",'Mapa final'!$A$124),"")</f>
        <v/>
      </c>
      <c r="AY82" s="267"/>
      <c r="AZ82" s="267" t="str">
        <f>IF(AND('Mapa final'!$K$127="Baja",'Mapa final'!$O$127="Catastrófico"),CONCATENATE("R",'Mapa final'!$A$127),"")</f>
        <v/>
      </c>
      <c r="BA82" s="267"/>
      <c r="BB82" s="267" t="str">
        <f>IF(AND('Mapa final'!$K$130="Baja",'Mapa final'!$O$130="Catastrófico"),CONCATENATE("R",'Mapa final'!$A$130),"")</f>
        <v/>
      </c>
      <c r="BC82" s="267"/>
      <c r="BD82" s="267" t="str">
        <f>IF(AND('Mapa final'!$K$133="Baja",'Mapa final'!$O$133="Catastrófico"),CONCATENATE("R",'Mapa final'!$A$133),"")</f>
        <v/>
      </c>
      <c r="BE82" s="267"/>
      <c r="BF82" s="267" t="str">
        <f>IF(AND('Mapa final'!$K$136="Baja",'Mapa final'!$O$136="Catastrófico"),CONCATENATE("R",'Mapa final'!$A$136),"")</f>
        <v/>
      </c>
      <c r="BG82" s="286"/>
      <c r="BH82" s="58"/>
      <c r="BI82" s="323"/>
      <c r="BJ82" s="324"/>
      <c r="BK82" s="324"/>
      <c r="BL82" s="324"/>
      <c r="BM82" s="324"/>
      <c r="BN82" s="325"/>
      <c r="BO82" s="58"/>
      <c r="BP82" s="58"/>
      <c r="BQ82" s="58"/>
      <c r="BR82" s="58"/>
      <c r="BS82" s="58"/>
      <c r="BT82" s="58"/>
      <c r="BU82" s="58"/>
      <c r="BV82" s="58"/>
      <c r="BW82" s="58"/>
      <c r="BX82" s="58"/>
      <c r="BY82" s="58"/>
      <c r="BZ82" s="58"/>
      <c r="CA82" s="58"/>
      <c r="CB82" s="58"/>
      <c r="CC82" s="58"/>
      <c r="CD82" s="58"/>
      <c r="CE82" s="58"/>
      <c r="CF82" s="58"/>
      <c r="CG82" s="58"/>
      <c r="CH82" s="58"/>
      <c r="CI82" s="58"/>
      <c r="CJ82" s="58"/>
      <c r="CK82" s="58"/>
      <c r="CL82" s="58"/>
      <c r="CM82" s="58"/>
      <c r="CN82" s="58"/>
      <c r="CO82" s="58"/>
      <c r="CP82" s="58"/>
      <c r="CQ82" s="58"/>
      <c r="CR82" s="58"/>
      <c r="CS82" s="58"/>
      <c r="CT82" s="58"/>
      <c r="CU82" s="58"/>
      <c r="CV82" s="58"/>
    </row>
    <row r="83" spans="1:100" ht="15" customHeight="1" x14ac:dyDescent="0.25">
      <c r="A83" s="58"/>
      <c r="B83" s="356"/>
      <c r="C83" s="356"/>
      <c r="D83" s="357"/>
      <c r="E83" s="331"/>
      <c r="F83" s="332"/>
      <c r="G83" s="332"/>
      <c r="H83" s="332"/>
      <c r="I83" s="333"/>
      <c r="J83" s="265"/>
      <c r="K83" s="266"/>
      <c r="L83" s="266"/>
      <c r="M83" s="266"/>
      <c r="N83" s="266"/>
      <c r="O83" s="266"/>
      <c r="P83" s="266"/>
      <c r="Q83" s="266"/>
      <c r="R83" s="266"/>
      <c r="S83" s="266"/>
      <c r="T83" s="272"/>
      <c r="U83" s="270"/>
      <c r="V83" s="270"/>
      <c r="W83" s="270"/>
      <c r="X83" s="270"/>
      <c r="Y83" s="270"/>
      <c r="Z83" s="270"/>
      <c r="AA83" s="270"/>
      <c r="AB83" s="270"/>
      <c r="AC83" s="271"/>
      <c r="AD83" s="272"/>
      <c r="AE83" s="270"/>
      <c r="AF83" s="270"/>
      <c r="AG83" s="270"/>
      <c r="AH83" s="270"/>
      <c r="AI83" s="270"/>
      <c r="AJ83" s="270"/>
      <c r="AK83" s="270"/>
      <c r="AL83" s="270"/>
      <c r="AM83" s="271"/>
      <c r="AN83" s="275"/>
      <c r="AO83" s="273"/>
      <c r="AP83" s="273"/>
      <c r="AQ83" s="273"/>
      <c r="AR83" s="273"/>
      <c r="AS83" s="273"/>
      <c r="AT83" s="273"/>
      <c r="AU83" s="273"/>
      <c r="AV83" s="273"/>
      <c r="AW83" s="273"/>
      <c r="AX83" s="285"/>
      <c r="AY83" s="267"/>
      <c r="AZ83" s="267"/>
      <c r="BA83" s="267"/>
      <c r="BB83" s="267"/>
      <c r="BC83" s="267"/>
      <c r="BD83" s="267"/>
      <c r="BE83" s="267"/>
      <c r="BF83" s="267"/>
      <c r="BG83" s="286"/>
      <c r="BH83" s="58"/>
      <c r="BI83" s="323"/>
      <c r="BJ83" s="324"/>
      <c r="BK83" s="324"/>
      <c r="BL83" s="324"/>
      <c r="BM83" s="324"/>
      <c r="BN83" s="325"/>
      <c r="BO83" s="58"/>
      <c r="BP83" s="58"/>
      <c r="BQ83" s="58"/>
      <c r="BR83" s="58"/>
      <c r="BS83" s="58"/>
      <c r="BT83" s="58"/>
      <c r="BU83" s="58"/>
      <c r="BV83" s="58"/>
      <c r="BW83" s="58"/>
      <c r="BX83" s="58"/>
      <c r="BY83" s="58"/>
      <c r="BZ83" s="58"/>
      <c r="CA83" s="58"/>
      <c r="CB83" s="58"/>
      <c r="CC83" s="58"/>
      <c r="CD83" s="58"/>
      <c r="CE83" s="58"/>
      <c r="CF83" s="58"/>
      <c r="CG83" s="58"/>
      <c r="CH83" s="58"/>
      <c r="CI83" s="58"/>
      <c r="CJ83" s="58"/>
      <c r="CK83" s="58"/>
      <c r="CL83" s="58"/>
      <c r="CM83" s="58"/>
      <c r="CN83" s="58"/>
      <c r="CO83" s="58"/>
      <c r="CP83" s="58"/>
      <c r="CQ83" s="58"/>
      <c r="CR83" s="58"/>
      <c r="CS83" s="58"/>
      <c r="CT83" s="58"/>
      <c r="CU83" s="58"/>
      <c r="CV83" s="58"/>
    </row>
    <row r="84" spans="1:100" ht="15" customHeight="1" x14ac:dyDescent="0.25">
      <c r="A84" s="58"/>
      <c r="B84" s="356"/>
      <c r="C84" s="356"/>
      <c r="D84" s="357"/>
      <c r="E84" s="331"/>
      <c r="F84" s="332"/>
      <c r="G84" s="332"/>
      <c r="H84" s="332"/>
      <c r="I84" s="333"/>
      <c r="J84" s="265" t="str">
        <f>IF(AND('Mapa final'!$K$139="Baja",'Mapa final'!$O$139="Leve"),CONCATENATE("R",'Mapa final'!$A$139),"")</f>
        <v/>
      </c>
      <c r="K84" s="266"/>
      <c r="L84" s="266" t="str">
        <f>IF(AND('Mapa final'!$K$142="Baja",'Mapa final'!$O$142="Leve"),CONCATENATE("R",'Mapa final'!$A$142),"")</f>
        <v/>
      </c>
      <c r="M84" s="266"/>
      <c r="N84" s="266" t="str">
        <f>IF(AND('Mapa final'!$K$145="Baja",'Mapa final'!$O$145="Leve"),CONCATENATE("R",'Mapa final'!$A$145),"")</f>
        <v/>
      </c>
      <c r="O84" s="266"/>
      <c r="P84" s="266" t="str">
        <f>IF(AND('Mapa final'!$K$148="Baja",'Mapa final'!$O$148="Leve"),CONCATENATE("R",'Mapa final'!$A$148),"")</f>
        <v/>
      </c>
      <c r="Q84" s="266"/>
      <c r="R84" s="266" t="str">
        <f>IF(AND('Mapa final'!$K$151="Baja",'Mapa final'!$O$151="Leve"),CONCATENATE("R",'Mapa final'!$A$151),"")</f>
        <v/>
      </c>
      <c r="S84" s="266"/>
      <c r="T84" s="272" t="str">
        <f>IF(AND('Mapa final'!$K$139="Baja",'Mapa final'!$O$139="Menor"),CONCATENATE("R",'Mapa final'!$A$139),"")</f>
        <v/>
      </c>
      <c r="U84" s="270"/>
      <c r="V84" s="270" t="str">
        <f>IF(AND('Mapa final'!$K$142="Baja",'Mapa final'!$O$142="Menor"),CONCATENATE("R",'Mapa final'!$A$142),"")</f>
        <v/>
      </c>
      <c r="W84" s="270"/>
      <c r="X84" s="270" t="str">
        <f>IF(AND('Mapa final'!$K$145="Baja",'Mapa final'!$O$145="Menor"),CONCATENATE("R",'Mapa final'!$A$145),"")</f>
        <v/>
      </c>
      <c r="Y84" s="270"/>
      <c r="Z84" s="270" t="str">
        <f>IF(AND('Mapa final'!$K$148="Baja",'Mapa final'!$O$148="Menor"),CONCATENATE("R",'Mapa final'!$A$148),"")</f>
        <v/>
      </c>
      <c r="AA84" s="270"/>
      <c r="AB84" s="270" t="str">
        <f>IF(AND('Mapa final'!$K$151="Baja",'Mapa final'!$O$151="Menor"),CONCATENATE("R",'Mapa final'!$A$151),"")</f>
        <v/>
      </c>
      <c r="AC84" s="271"/>
      <c r="AD84" s="272" t="str">
        <f>IF(AND('Mapa final'!$K$139="Baja",'Mapa final'!$O$139="Moderado"),CONCATENATE("R",'Mapa final'!$A$139),"")</f>
        <v/>
      </c>
      <c r="AE84" s="270"/>
      <c r="AF84" s="270" t="str">
        <f>IF(AND('Mapa final'!$K$142="Baja",'Mapa final'!$O$142="Moderado"),CONCATENATE("R",'Mapa final'!$A$142),"")</f>
        <v/>
      </c>
      <c r="AG84" s="270"/>
      <c r="AH84" s="270" t="str">
        <f>IF(AND('Mapa final'!$K$145="Baja",'Mapa final'!$O$145="Moderado"),CONCATENATE("R",'Mapa final'!$A$145),"")</f>
        <v/>
      </c>
      <c r="AI84" s="270"/>
      <c r="AJ84" s="270" t="str">
        <f>IF(AND('Mapa final'!$K$148="Baja",'Mapa final'!$O$148="Moderado"),CONCATENATE("R",'Mapa final'!$A$148),"")</f>
        <v/>
      </c>
      <c r="AK84" s="270"/>
      <c r="AL84" s="270" t="str">
        <f>IF(AND('Mapa final'!$K$151="Baja",'Mapa final'!$O$151="Moderado"),CONCATENATE("R",'Mapa final'!$A$151),"")</f>
        <v/>
      </c>
      <c r="AM84" s="271"/>
      <c r="AN84" s="275" t="str">
        <f>IF(AND('Mapa final'!$K$139="Baja",'Mapa final'!$O$139="Mayor"),CONCATENATE("R",'Mapa final'!$A$139),"")</f>
        <v/>
      </c>
      <c r="AO84" s="273"/>
      <c r="AP84" s="273" t="str">
        <f>IF(AND('Mapa final'!$K$142="Baja",'Mapa final'!$O$142="Mayor"),CONCATENATE("R",'Mapa final'!$A$142),"")</f>
        <v/>
      </c>
      <c r="AQ84" s="273"/>
      <c r="AR84" s="273" t="str">
        <f>IF(AND('Mapa final'!$K$145="Baja",'Mapa final'!$O$145="Mayor"),CONCATENATE("R",'Mapa final'!$A$145),"")</f>
        <v/>
      </c>
      <c r="AS84" s="273"/>
      <c r="AT84" s="273" t="str">
        <f>IF(AND('Mapa final'!$K$148="Baja",'Mapa final'!$O$148="Mayor"),CONCATENATE("R",'Mapa final'!$A$148),"")</f>
        <v/>
      </c>
      <c r="AU84" s="273"/>
      <c r="AV84" s="273" t="str">
        <f>IF(AND('Mapa final'!$K$151="Baja",'Mapa final'!$O$151="Mayor"),CONCATENATE("R",'Mapa final'!$A$151),"")</f>
        <v/>
      </c>
      <c r="AW84" s="273"/>
      <c r="AX84" s="285" t="str">
        <f>IF(AND('Mapa final'!$K$139="Baja",'Mapa final'!$O$139="Catastrófico"),CONCATENATE("R",'Mapa final'!$A$139),"")</f>
        <v/>
      </c>
      <c r="AY84" s="267"/>
      <c r="AZ84" s="267" t="str">
        <f>IF(AND('Mapa final'!$K$142="Baja",'Mapa final'!$O$142="Catastrófico"),CONCATENATE("R",'Mapa final'!$A$142),"")</f>
        <v/>
      </c>
      <c r="BA84" s="267"/>
      <c r="BB84" s="267" t="str">
        <f>IF(AND('Mapa final'!$K$145="Baja",'Mapa final'!$O$145="Catastrófico"),CONCATENATE("R",'Mapa final'!$A$145),"")</f>
        <v/>
      </c>
      <c r="BC84" s="267"/>
      <c r="BD84" s="267" t="str">
        <f>IF(AND('Mapa final'!$K$148="Baja",'Mapa final'!$O$148="Catastrófico"),CONCATENATE("R",'Mapa final'!$A$148),"")</f>
        <v/>
      </c>
      <c r="BE84" s="267"/>
      <c r="BF84" s="267" t="str">
        <f>IF(AND('Mapa final'!$K$151="Baja",'Mapa final'!$O$151="Catastrófico"),CONCATENATE("R",'Mapa final'!$A$151),"")</f>
        <v/>
      </c>
      <c r="BG84" s="286"/>
      <c r="BH84" s="58"/>
      <c r="BI84" s="323"/>
      <c r="BJ84" s="324"/>
      <c r="BK84" s="324"/>
      <c r="BL84" s="324"/>
      <c r="BM84" s="324"/>
      <c r="BN84" s="325"/>
      <c r="BO84" s="58"/>
      <c r="BP84" s="58"/>
      <c r="BQ84" s="58"/>
      <c r="BR84" s="58"/>
      <c r="BS84" s="58"/>
      <c r="BT84" s="58"/>
      <c r="BU84" s="58"/>
      <c r="BV84" s="58"/>
      <c r="BW84" s="58"/>
      <c r="BX84" s="58"/>
      <c r="BY84" s="58"/>
      <c r="BZ84" s="58"/>
      <c r="CA84" s="58"/>
      <c r="CB84" s="58"/>
      <c r="CC84" s="58"/>
      <c r="CD84" s="58"/>
      <c r="CE84" s="58"/>
      <c r="CF84" s="58"/>
      <c r="CG84" s="58"/>
      <c r="CH84" s="58"/>
      <c r="CI84" s="58"/>
      <c r="CJ84" s="58"/>
      <c r="CK84" s="58"/>
      <c r="CL84" s="58"/>
      <c r="CM84" s="58"/>
      <c r="CN84" s="58"/>
      <c r="CO84" s="58"/>
      <c r="CP84" s="58"/>
      <c r="CQ84" s="58"/>
      <c r="CR84" s="58"/>
      <c r="CS84" s="58"/>
      <c r="CT84" s="58"/>
      <c r="CU84" s="58"/>
      <c r="CV84" s="58"/>
    </row>
    <row r="85" spans="1:100" ht="15.75" customHeight="1" thickBot="1" x14ac:dyDescent="0.3">
      <c r="A85" s="58"/>
      <c r="B85" s="356"/>
      <c r="C85" s="356"/>
      <c r="D85" s="357"/>
      <c r="E85" s="334"/>
      <c r="F85" s="335"/>
      <c r="G85" s="335"/>
      <c r="H85" s="335"/>
      <c r="I85" s="335"/>
      <c r="J85" s="290"/>
      <c r="K85" s="291"/>
      <c r="L85" s="291"/>
      <c r="M85" s="291"/>
      <c r="N85" s="291"/>
      <c r="O85" s="291"/>
      <c r="P85" s="291"/>
      <c r="Q85" s="291"/>
      <c r="R85" s="291"/>
      <c r="S85" s="291"/>
      <c r="T85" s="272"/>
      <c r="U85" s="270"/>
      <c r="V85" s="270"/>
      <c r="W85" s="270"/>
      <c r="X85" s="270"/>
      <c r="Y85" s="270"/>
      <c r="Z85" s="270"/>
      <c r="AA85" s="270"/>
      <c r="AB85" s="270"/>
      <c r="AC85" s="271"/>
      <c r="AD85" s="280"/>
      <c r="AE85" s="281"/>
      <c r="AF85" s="281"/>
      <c r="AG85" s="281"/>
      <c r="AH85" s="281"/>
      <c r="AI85" s="281"/>
      <c r="AJ85" s="281"/>
      <c r="AK85" s="281"/>
      <c r="AL85" s="281"/>
      <c r="AM85" s="282"/>
      <c r="AN85" s="275"/>
      <c r="AO85" s="273"/>
      <c r="AP85" s="273"/>
      <c r="AQ85" s="273"/>
      <c r="AR85" s="273"/>
      <c r="AS85" s="273"/>
      <c r="AT85" s="273"/>
      <c r="AU85" s="273"/>
      <c r="AV85" s="273"/>
      <c r="AW85" s="273"/>
      <c r="AX85" s="285"/>
      <c r="AY85" s="267"/>
      <c r="AZ85" s="267"/>
      <c r="BA85" s="267"/>
      <c r="BB85" s="267"/>
      <c r="BC85" s="267"/>
      <c r="BD85" s="267"/>
      <c r="BE85" s="267"/>
      <c r="BF85" s="267"/>
      <c r="BG85" s="286"/>
      <c r="BH85" s="58"/>
      <c r="BI85" s="323"/>
      <c r="BJ85" s="324"/>
      <c r="BK85" s="324"/>
      <c r="BL85" s="324"/>
      <c r="BM85" s="324"/>
      <c r="BN85" s="325"/>
      <c r="BO85" s="58"/>
      <c r="BP85" s="58"/>
      <c r="BQ85" s="58"/>
      <c r="BR85" s="58"/>
      <c r="BS85" s="58"/>
      <c r="BT85" s="58"/>
      <c r="BU85" s="58"/>
      <c r="BV85" s="58"/>
      <c r="BW85" s="58"/>
      <c r="BX85" s="58"/>
      <c r="BY85" s="58"/>
      <c r="BZ85" s="58"/>
      <c r="CA85" s="58"/>
      <c r="CB85" s="58"/>
      <c r="CC85" s="58"/>
      <c r="CD85" s="58"/>
      <c r="CE85" s="58"/>
      <c r="CF85" s="58"/>
      <c r="CG85" s="58"/>
      <c r="CH85" s="58"/>
      <c r="CI85" s="58"/>
      <c r="CJ85" s="58"/>
      <c r="CK85" s="58"/>
      <c r="CL85" s="58"/>
      <c r="CM85" s="58"/>
      <c r="CN85" s="58"/>
      <c r="CO85" s="58"/>
      <c r="CP85" s="58"/>
      <c r="CQ85" s="58"/>
      <c r="CR85" s="58"/>
      <c r="CS85" s="58"/>
      <c r="CT85" s="58"/>
      <c r="CU85" s="58"/>
      <c r="CV85" s="58"/>
    </row>
    <row r="86" spans="1:100" ht="15" customHeight="1" x14ac:dyDescent="0.25">
      <c r="A86" s="58"/>
      <c r="B86" s="356"/>
      <c r="C86" s="356"/>
      <c r="D86" s="357"/>
      <c r="E86" s="329" t="s">
        <v>107</v>
      </c>
      <c r="F86" s="330"/>
      <c r="G86" s="330"/>
      <c r="H86" s="330"/>
      <c r="I86" s="336"/>
      <c r="J86" s="353" t="str">
        <f>IF(AND('Mapa final'!$K$7="Muy Baja",'Mapa final'!$O$7="Leve"),CONCATENATE("R",'Mapa final'!$A$7),"")</f>
        <v/>
      </c>
      <c r="K86" s="292"/>
      <c r="L86" s="292" t="str">
        <f>IF(AND('Mapa final'!$K$10="Muy Baja",'Mapa final'!$O$10="Leve"),CONCATENATE("R",'Mapa final'!$A$10),"")</f>
        <v/>
      </c>
      <c r="M86" s="292"/>
      <c r="N86" s="292" t="str">
        <f>IF(AND('Mapa final'!$K$13="Muy Baja",'Mapa final'!$O$13="Leve"),CONCATENATE("R",'Mapa final'!$A$13),"")</f>
        <v/>
      </c>
      <c r="O86" s="292"/>
      <c r="P86" s="292" t="str">
        <f>IF(AND('Mapa final'!$K$16="Muy Baja",'Mapa final'!$O$16="Leve"),CONCATENATE("R",'Mapa final'!$A$16),"")</f>
        <v/>
      </c>
      <c r="Q86" s="292"/>
      <c r="R86" s="292" t="str">
        <f>IF(AND('Mapa final'!$K$19="Muy Baja",'Mapa final'!$O$19="Leve"),CONCATENATE("R",'Mapa final'!$A$19),"")</f>
        <v/>
      </c>
      <c r="S86" s="292"/>
      <c r="T86" s="353" t="str">
        <f>IF(AND('Mapa final'!$K$7="Muy Baja",'Mapa final'!$O$7="Menor"),CONCATENATE("R",'Mapa final'!$A$7),"")</f>
        <v/>
      </c>
      <c r="U86" s="292"/>
      <c r="V86" s="292" t="str">
        <f>IF(AND('Mapa final'!$K$10="Muy Baja",'Mapa final'!$O$10="Menor"),CONCATENATE("R",'Mapa final'!$A$10),"")</f>
        <v/>
      </c>
      <c r="W86" s="292"/>
      <c r="X86" s="292" t="str">
        <f>IF(AND('Mapa final'!$K$13="Muy Baja",'Mapa final'!$O$13="Menor"),CONCATENATE("R",'Mapa final'!$A$13),"")</f>
        <v/>
      </c>
      <c r="Y86" s="292"/>
      <c r="Z86" s="292" t="str">
        <f>IF(AND('Mapa final'!$K$16="Muy Baja",'Mapa final'!$O$16="Menor"),CONCATENATE("R",'Mapa final'!$A$16),"")</f>
        <v/>
      </c>
      <c r="AA86" s="292"/>
      <c r="AB86" s="292" t="str">
        <f>IF(AND('Mapa final'!$K$19="Muy Baja",'Mapa final'!$O$19="Menor"),CONCATENATE("R",'Mapa final'!$A$19),"")</f>
        <v/>
      </c>
      <c r="AC86" s="292"/>
      <c r="AD86" s="277" t="str">
        <f>IF(AND('Mapa final'!$K$7="Muy Baja",'Mapa final'!$O$7="Moderado"),CONCATENATE("R",'Mapa final'!$A$7),"")</f>
        <v/>
      </c>
      <c r="AE86" s="278"/>
      <c r="AF86" s="278" t="str">
        <f>IF(AND('Mapa final'!$K$10="Muy Baja",'Mapa final'!$O$10="Moderado"),CONCATENATE("R",'Mapa final'!$A$10),"")</f>
        <v/>
      </c>
      <c r="AG86" s="278"/>
      <c r="AH86" s="278" t="str">
        <f>IF(AND('Mapa final'!$K$13="Muy Baja",'Mapa final'!$O$13="Moderado"),CONCATENATE("R",'Mapa final'!$A$13),"")</f>
        <v/>
      </c>
      <c r="AI86" s="278"/>
      <c r="AJ86" s="278" t="str">
        <f>IF(AND('Mapa final'!$K$16="Muy Baja",'Mapa final'!$O$16="Moderado"),CONCATENATE("R",'Mapa final'!$A$16),"")</f>
        <v/>
      </c>
      <c r="AK86" s="278"/>
      <c r="AL86" s="278" t="str">
        <f>IF(AND('Mapa final'!$K$19="Muy Baja",'Mapa final'!$O$19="Moderado"),CONCATENATE("R",'Mapa final'!$A$19),"")</f>
        <v/>
      </c>
      <c r="AM86" s="279"/>
      <c r="AN86" s="345" t="str">
        <f>IF(AND('Mapa final'!$K$7="Muy Baja",'Mapa final'!$O$7="Mayor"),CONCATENATE("R",'Mapa final'!$A$7),"")</f>
        <v/>
      </c>
      <c r="AO86" s="341"/>
      <c r="AP86" s="341" t="str">
        <f>IF(AND('Mapa final'!$K$10="Muy Baja",'Mapa final'!$O$10="Mayor"),CONCATENATE("R",'Mapa final'!$A$10),"")</f>
        <v/>
      </c>
      <c r="AQ86" s="341"/>
      <c r="AR86" s="341" t="str">
        <f>IF(AND('Mapa final'!$K$13="Muy Baja",'Mapa final'!$O$13="Mayor"),CONCATENATE("R",'Mapa final'!$A$13),"")</f>
        <v/>
      </c>
      <c r="AS86" s="341"/>
      <c r="AT86" s="341" t="str">
        <f>IF(AND('Mapa final'!$K$16="Muy Baja",'Mapa final'!$O$16="Mayor"),CONCATENATE("R",'Mapa final'!$A$16),"")</f>
        <v/>
      </c>
      <c r="AU86" s="341"/>
      <c r="AV86" s="341" t="str">
        <f>IF(AND('Mapa final'!$K$19="Muy Baja",'Mapa final'!$O$19="Mayor"),CONCATENATE("R",'Mapa final'!$A$19),"")</f>
        <v/>
      </c>
      <c r="AW86" s="346"/>
      <c r="AX86" s="351" t="str">
        <f>IF(AND('Mapa final'!$K$7="Muy Baja",'Mapa final'!$O$7="Catastrófico"),CONCATENATE("R",'Mapa final'!$A$7),"")</f>
        <v/>
      </c>
      <c r="AY86" s="287"/>
      <c r="AZ86" s="287" t="str">
        <f>IF(AND('Mapa final'!$K$10="Muy Baja",'Mapa final'!$O$10="Catastrófico"),CONCATENATE("R",'Mapa final'!$A$10),"")</f>
        <v/>
      </c>
      <c r="BA86" s="287"/>
      <c r="BB86" s="287" t="str">
        <f>IF(AND('Mapa final'!$K$13="Muy Baja",'Mapa final'!$O$13="Catastrófico"),CONCATENATE("R",'Mapa final'!$A$13),"")</f>
        <v/>
      </c>
      <c r="BC86" s="287"/>
      <c r="BD86" s="287" t="str">
        <f>IF(AND('Mapa final'!$K$16="Muy Baja",'Mapa final'!$O$16="Catastrófico"),CONCATENATE("R",'Mapa final'!$A$16),"")</f>
        <v/>
      </c>
      <c r="BE86" s="287"/>
      <c r="BF86" s="287" t="str">
        <f>IF(AND('Mapa final'!$K$19="Muy Baja",'Mapa final'!$O$19="Catastrófico"),CONCATENATE("R",'Mapa final'!$A$19),"")</f>
        <v/>
      </c>
      <c r="BG86" s="352"/>
      <c r="BH86" s="58"/>
      <c r="BI86" s="323"/>
      <c r="BJ86" s="324"/>
      <c r="BK86" s="324"/>
      <c r="BL86" s="324"/>
      <c r="BM86" s="324"/>
      <c r="BN86" s="325"/>
      <c r="BO86" s="58"/>
      <c r="BP86" s="58"/>
      <c r="BQ86" s="58"/>
      <c r="BR86" s="58"/>
      <c r="BS86" s="58"/>
      <c r="BT86" s="58"/>
      <c r="BU86" s="58"/>
      <c r="BV86" s="58"/>
      <c r="BW86" s="58"/>
      <c r="BX86" s="58"/>
      <c r="BY86" s="58"/>
      <c r="BZ86" s="58"/>
      <c r="CA86" s="58"/>
      <c r="CB86" s="58"/>
      <c r="CC86" s="58"/>
      <c r="CD86" s="58"/>
      <c r="CE86" s="58"/>
      <c r="CF86" s="58"/>
      <c r="CG86" s="58"/>
      <c r="CH86" s="58"/>
      <c r="CI86" s="58"/>
      <c r="CJ86" s="58"/>
      <c r="CK86" s="58"/>
      <c r="CL86" s="58"/>
      <c r="CM86" s="58"/>
      <c r="CN86" s="58"/>
      <c r="CO86" s="58"/>
      <c r="CP86" s="58"/>
      <c r="CQ86" s="58"/>
      <c r="CR86" s="58"/>
      <c r="CS86" s="58"/>
      <c r="CT86" s="58"/>
      <c r="CU86" s="58"/>
      <c r="CV86" s="58"/>
    </row>
    <row r="87" spans="1:100" ht="15" customHeight="1" x14ac:dyDescent="0.25">
      <c r="A87" s="58"/>
      <c r="B87" s="356"/>
      <c r="C87" s="356"/>
      <c r="D87" s="357"/>
      <c r="E87" s="331"/>
      <c r="F87" s="332"/>
      <c r="G87" s="332"/>
      <c r="H87" s="332"/>
      <c r="I87" s="337"/>
      <c r="J87" s="265"/>
      <c r="K87" s="266"/>
      <c r="L87" s="266"/>
      <c r="M87" s="266"/>
      <c r="N87" s="266"/>
      <c r="O87" s="266"/>
      <c r="P87" s="266"/>
      <c r="Q87" s="266"/>
      <c r="R87" s="266"/>
      <c r="S87" s="266"/>
      <c r="T87" s="265"/>
      <c r="U87" s="266"/>
      <c r="V87" s="266"/>
      <c r="W87" s="266"/>
      <c r="X87" s="266"/>
      <c r="Y87" s="266"/>
      <c r="Z87" s="266"/>
      <c r="AA87" s="266"/>
      <c r="AB87" s="266"/>
      <c r="AC87" s="266"/>
      <c r="AD87" s="272"/>
      <c r="AE87" s="270"/>
      <c r="AF87" s="270"/>
      <c r="AG87" s="270"/>
      <c r="AH87" s="270"/>
      <c r="AI87" s="270"/>
      <c r="AJ87" s="270"/>
      <c r="AK87" s="270"/>
      <c r="AL87" s="270"/>
      <c r="AM87" s="271"/>
      <c r="AN87" s="276"/>
      <c r="AO87" s="273"/>
      <c r="AP87" s="273"/>
      <c r="AQ87" s="273"/>
      <c r="AR87" s="273"/>
      <c r="AS87" s="273"/>
      <c r="AT87" s="273"/>
      <c r="AU87" s="273"/>
      <c r="AV87" s="273"/>
      <c r="AW87" s="274"/>
      <c r="AX87" s="269"/>
      <c r="AY87" s="267"/>
      <c r="AZ87" s="267"/>
      <c r="BA87" s="267"/>
      <c r="BB87" s="267"/>
      <c r="BC87" s="267"/>
      <c r="BD87" s="267"/>
      <c r="BE87" s="267"/>
      <c r="BF87" s="267"/>
      <c r="BG87" s="268"/>
      <c r="BH87" s="58"/>
      <c r="BI87" s="323"/>
      <c r="BJ87" s="324"/>
      <c r="BK87" s="324"/>
      <c r="BL87" s="324"/>
      <c r="BM87" s="324"/>
      <c r="BN87" s="325"/>
      <c r="BO87" s="58"/>
      <c r="BP87" s="58"/>
      <c r="BQ87" s="58"/>
      <c r="BR87" s="58"/>
      <c r="BS87" s="58"/>
      <c r="BT87" s="58"/>
      <c r="BU87" s="58"/>
      <c r="BV87" s="58"/>
      <c r="BW87" s="58"/>
      <c r="BX87" s="58"/>
      <c r="BY87" s="58"/>
      <c r="BZ87" s="58"/>
      <c r="CA87" s="58"/>
      <c r="CB87" s="58"/>
      <c r="CC87" s="58"/>
      <c r="CD87" s="58"/>
      <c r="CE87" s="58"/>
      <c r="CF87" s="58"/>
      <c r="CG87" s="58"/>
      <c r="CH87" s="58"/>
      <c r="CI87" s="58"/>
      <c r="CJ87" s="58"/>
      <c r="CK87" s="58"/>
      <c r="CL87" s="58"/>
      <c r="CM87" s="58"/>
      <c r="CN87" s="58"/>
      <c r="CO87" s="58"/>
      <c r="CP87" s="58"/>
      <c r="CQ87" s="58"/>
      <c r="CR87" s="58"/>
      <c r="CS87" s="58"/>
      <c r="CT87" s="58"/>
      <c r="CU87" s="58"/>
      <c r="CV87" s="58"/>
    </row>
    <row r="88" spans="1:100" ht="15" customHeight="1" x14ac:dyDescent="0.25">
      <c r="A88" s="58"/>
      <c r="B88" s="356"/>
      <c r="C88" s="356"/>
      <c r="D88" s="357"/>
      <c r="E88" s="331"/>
      <c r="F88" s="332"/>
      <c r="G88" s="332"/>
      <c r="H88" s="332"/>
      <c r="I88" s="337"/>
      <c r="J88" s="265" t="str">
        <f>IF(AND('Mapa final'!$K$22="Muy Baja",'Mapa final'!$O$22="Leve"),CONCATENATE("R",'Mapa final'!$A$22),"")</f>
        <v/>
      </c>
      <c r="K88" s="266"/>
      <c r="L88" s="266" t="str">
        <f>IF(AND('Mapa final'!$K$25="Muy Baja",'Mapa final'!$O$25="Leve"),CONCATENATE("R",'Mapa final'!$A$25),"")</f>
        <v/>
      </c>
      <c r="M88" s="266"/>
      <c r="N88" s="266" t="str">
        <f>IF(AND('Mapa final'!$K$28="Muy Baja",'Mapa final'!$O$28="Leve"),CONCATENATE("R",'Mapa final'!$A$28),"")</f>
        <v/>
      </c>
      <c r="O88" s="266"/>
      <c r="P88" s="266" t="str">
        <f>IF(AND('Mapa final'!$K$31="Muy Baja",'Mapa final'!$O$31="Leve"),CONCATENATE("R",'Mapa final'!$A$31),"")</f>
        <v/>
      </c>
      <c r="Q88" s="266"/>
      <c r="R88" s="266" t="str">
        <f>IF(AND('Mapa final'!$K$34="Muy Baja",'Mapa final'!$O$34="Leve"),CONCATENATE("R",'Mapa final'!$A$34),"")</f>
        <v/>
      </c>
      <c r="S88" s="266"/>
      <c r="T88" s="265" t="str">
        <f>IF(AND('Mapa final'!$K$22="Muy Baja",'Mapa final'!$O$22="Menor"),CONCATENATE("R",'Mapa final'!$A$22),"")</f>
        <v/>
      </c>
      <c r="U88" s="266"/>
      <c r="V88" s="266" t="str">
        <f>IF(AND('Mapa final'!$K$25="Muy Baja",'Mapa final'!$O$25="Menor"),CONCATENATE("R",'Mapa final'!$A$25),"")</f>
        <v/>
      </c>
      <c r="W88" s="266"/>
      <c r="X88" s="266" t="str">
        <f>IF(AND('Mapa final'!$K$28="Muy Baja",'Mapa final'!$O$28="Menor"),CONCATENATE("R",'Mapa final'!$A$28),"")</f>
        <v/>
      </c>
      <c r="Y88" s="266"/>
      <c r="Z88" s="266" t="str">
        <f>IF(AND('Mapa final'!$K$31="Muy Baja",'Mapa final'!$O$31="Menor"),CONCATENATE("R",'Mapa final'!$A$31),"")</f>
        <v/>
      </c>
      <c r="AA88" s="266"/>
      <c r="AB88" s="266" t="str">
        <f>IF(AND('Mapa final'!$K$34="Muy Baja",'Mapa final'!$O$34="Menor"),CONCATENATE("R",'Mapa final'!$A$34),"")</f>
        <v/>
      </c>
      <c r="AC88" s="266"/>
      <c r="AD88" s="272" t="str">
        <f>IF(AND('Mapa final'!$K$22="Muy Baja",'Mapa final'!$O$22="Moderado"),CONCATENATE("R",'Mapa final'!$A$22),"")</f>
        <v>R6</v>
      </c>
      <c r="AE88" s="270"/>
      <c r="AF88" s="270" t="str">
        <f>IF(AND('Mapa final'!$K$25="Muy Baja",'Mapa final'!$O$25="Moderado"),CONCATENATE("R",'Mapa final'!$A$25),"")</f>
        <v>R7</v>
      </c>
      <c r="AG88" s="270"/>
      <c r="AH88" s="270" t="str">
        <f>IF(AND('Mapa final'!$K$28="Muy Baja",'Mapa final'!$O$28="Moderado"),CONCATENATE("R",'Mapa final'!$A$28),"")</f>
        <v/>
      </c>
      <c r="AI88" s="270"/>
      <c r="AJ88" s="270" t="str">
        <f>IF(AND('Mapa final'!$K$31="Muy Baja",'Mapa final'!$O$31="Moderado"),CONCATENATE("R",'Mapa final'!$A$31),"")</f>
        <v/>
      </c>
      <c r="AK88" s="270"/>
      <c r="AL88" s="270" t="str">
        <f>IF(AND('Mapa final'!$K$34="Muy Baja",'Mapa final'!$O$34="Moderado"),CONCATENATE("R",'Mapa final'!$A$34),"")</f>
        <v/>
      </c>
      <c r="AM88" s="271"/>
      <c r="AN88" s="276" t="str">
        <f>IF(AND('Mapa final'!$K$22="Muy Baja",'Mapa final'!$O$22="Mayor"),CONCATENATE("R",'Mapa final'!$A$22),"")</f>
        <v/>
      </c>
      <c r="AO88" s="273"/>
      <c r="AP88" s="273" t="str">
        <f>IF(AND('Mapa final'!$K$25="Muy Baja",'Mapa final'!$O$25="Mayor"),CONCATENATE("R",'Mapa final'!$A$25),"")</f>
        <v/>
      </c>
      <c r="AQ88" s="273"/>
      <c r="AR88" s="273" t="str">
        <f>IF(AND('Mapa final'!$K$28="Muy Baja",'Mapa final'!$O$28="Mayor"),CONCATENATE("R",'Mapa final'!$A$28),"")</f>
        <v/>
      </c>
      <c r="AS88" s="273"/>
      <c r="AT88" s="273" t="str">
        <f>IF(AND('Mapa final'!$K$31="Muy Baja",'Mapa final'!$O$31="Mayor"),CONCATENATE("R",'Mapa final'!$A$31),"")</f>
        <v/>
      </c>
      <c r="AU88" s="273"/>
      <c r="AV88" s="273" t="str">
        <f>IF(AND('Mapa final'!$K$34="Muy Baja",'Mapa final'!$O$34="Mayor"),CONCATENATE("R",'Mapa final'!$A$34),"")</f>
        <v/>
      </c>
      <c r="AW88" s="274"/>
      <c r="AX88" s="269" t="str">
        <f>IF(AND('Mapa final'!$K$22="Muy Baja",'Mapa final'!$O$22="Catastrófico"),CONCATENATE("R",'Mapa final'!$A$22),"")</f>
        <v/>
      </c>
      <c r="AY88" s="267"/>
      <c r="AZ88" s="267" t="str">
        <f>IF(AND('Mapa final'!$K$25="Muy Baja",'Mapa final'!$O$25="Catastrófico"),CONCATENATE("R",'Mapa final'!$A$25),"")</f>
        <v/>
      </c>
      <c r="BA88" s="267"/>
      <c r="BB88" s="267" t="str">
        <f>IF(AND('Mapa final'!$K$28="Muy Baja",'Mapa final'!$O$28="Catastrófico"),CONCATENATE("R",'Mapa final'!$A$28),"")</f>
        <v/>
      </c>
      <c r="BC88" s="267"/>
      <c r="BD88" s="267" t="str">
        <f>IF(AND('Mapa final'!$K$31="Muy Baja",'Mapa final'!$O$31="Catastrófico"),CONCATENATE("R",'Mapa final'!$A$31),"")</f>
        <v/>
      </c>
      <c r="BE88" s="267"/>
      <c r="BF88" s="267" t="str">
        <f>IF(AND('Mapa final'!$K$34="Muy Baja",'Mapa final'!$O$34="Catastrófico"),CONCATENATE("R",'Mapa final'!$A$34),"")</f>
        <v/>
      </c>
      <c r="BG88" s="268"/>
      <c r="BH88" s="58"/>
      <c r="BI88" s="323"/>
      <c r="BJ88" s="324"/>
      <c r="BK88" s="324"/>
      <c r="BL88" s="324"/>
      <c r="BM88" s="324"/>
      <c r="BN88" s="325"/>
      <c r="BO88" s="58"/>
      <c r="BP88" s="58"/>
      <c r="BQ88" s="58"/>
      <c r="BR88" s="58"/>
      <c r="BS88" s="58"/>
      <c r="BT88" s="58"/>
      <c r="BU88" s="58"/>
      <c r="BV88" s="58"/>
      <c r="BW88" s="58"/>
      <c r="BX88" s="58"/>
      <c r="BY88" s="58"/>
      <c r="BZ88" s="58"/>
      <c r="CA88" s="58"/>
      <c r="CB88" s="58"/>
      <c r="CC88" s="58"/>
      <c r="CD88" s="58"/>
      <c r="CE88" s="58"/>
      <c r="CF88" s="58"/>
      <c r="CG88" s="58"/>
      <c r="CH88" s="58"/>
      <c r="CI88" s="58"/>
      <c r="CJ88" s="58"/>
      <c r="CK88" s="58"/>
      <c r="CL88" s="58"/>
      <c r="CM88" s="58"/>
      <c r="CN88" s="58"/>
      <c r="CO88" s="58"/>
      <c r="CP88" s="58"/>
      <c r="CQ88" s="58"/>
      <c r="CR88" s="58"/>
      <c r="CS88" s="58"/>
      <c r="CT88" s="58"/>
      <c r="CU88" s="58"/>
      <c r="CV88" s="58"/>
    </row>
    <row r="89" spans="1:100" ht="15" customHeight="1" x14ac:dyDescent="0.25">
      <c r="A89" s="58"/>
      <c r="B89" s="356"/>
      <c r="C89" s="356"/>
      <c r="D89" s="357"/>
      <c r="E89" s="331"/>
      <c r="F89" s="332"/>
      <c r="G89" s="332"/>
      <c r="H89" s="332"/>
      <c r="I89" s="337"/>
      <c r="J89" s="265"/>
      <c r="K89" s="266"/>
      <c r="L89" s="266"/>
      <c r="M89" s="266"/>
      <c r="N89" s="266"/>
      <c r="O89" s="266"/>
      <c r="P89" s="266"/>
      <c r="Q89" s="266"/>
      <c r="R89" s="266"/>
      <c r="S89" s="266"/>
      <c r="T89" s="265"/>
      <c r="U89" s="266"/>
      <c r="V89" s="266"/>
      <c r="W89" s="266"/>
      <c r="X89" s="266"/>
      <c r="Y89" s="266"/>
      <c r="Z89" s="266"/>
      <c r="AA89" s="266"/>
      <c r="AB89" s="266"/>
      <c r="AC89" s="266"/>
      <c r="AD89" s="272"/>
      <c r="AE89" s="270"/>
      <c r="AF89" s="270"/>
      <c r="AG89" s="270"/>
      <c r="AH89" s="270"/>
      <c r="AI89" s="270"/>
      <c r="AJ89" s="270"/>
      <c r="AK89" s="270"/>
      <c r="AL89" s="270"/>
      <c r="AM89" s="271"/>
      <c r="AN89" s="276"/>
      <c r="AO89" s="273"/>
      <c r="AP89" s="273"/>
      <c r="AQ89" s="273"/>
      <c r="AR89" s="273"/>
      <c r="AS89" s="273"/>
      <c r="AT89" s="273"/>
      <c r="AU89" s="273"/>
      <c r="AV89" s="273"/>
      <c r="AW89" s="274"/>
      <c r="AX89" s="269"/>
      <c r="AY89" s="267"/>
      <c r="AZ89" s="267"/>
      <c r="BA89" s="267"/>
      <c r="BB89" s="267"/>
      <c r="BC89" s="267"/>
      <c r="BD89" s="267"/>
      <c r="BE89" s="267"/>
      <c r="BF89" s="267"/>
      <c r="BG89" s="268"/>
      <c r="BH89" s="58"/>
      <c r="BI89" s="323"/>
      <c r="BJ89" s="324"/>
      <c r="BK89" s="324"/>
      <c r="BL89" s="324"/>
      <c r="BM89" s="324"/>
      <c r="BN89" s="325"/>
      <c r="BO89" s="58"/>
      <c r="BP89" s="58"/>
      <c r="BQ89" s="58"/>
      <c r="BR89" s="58"/>
      <c r="BS89" s="58"/>
      <c r="BT89" s="58"/>
      <c r="BU89" s="58"/>
      <c r="BV89" s="58"/>
      <c r="BW89" s="58"/>
      <c r="BX89" s="58"/>
      <c r="BY89" s="58"/>
      <c r="BZ89" s="58"/>
      <c r="CA89" s="58"/>
      <c r="CB89" s="58"/>
      <c r="CC89" s="58"/>
      <c r="CD89" s="58"/>
      <c r="CE89" s="58"/>
      <c r="CF89" s="58"/>
      <c r="CG89" s="58"/>
      <c r="CH89" s="58"/>
      <c r="CI89" s="58"/>
      <c r="CJ89" s="58"/>
      <c r="CK89" s="58"/>
      <c r="CL89" s="58"/>
      <c r="CM89" s="58"/>
      <c r="CN89" s="58"/>
      <c r="CO89" s="58"/>
      <c r="CP89" s="58"/>
      <c r="CQ89" s="58"/>
      <c r="CR89" s="58"/>
      <c r="CS89" s="58"/>
      <c r="CT89" s="58"/>
      <c r="CU89" s="58"/>
      <c r="CV89" s="58"/>
    </row>
    <row r="90" spans="1:100" ht="15" customHeight="1" x14ac:dyDescent="0.25">
      <c r="A90" s="58"/>
      <c r="B90" s="356"/>
      <c r="C90" s="356"/>
      <c r="D90" s="357"/>
      <c r="E90" s="331"/>
      <c r="F90" s="332"/>
      <c r="G90" s="332"/>
      <c r="H90" s="332"/>
      <c r="I90" s="337"/>
      <c r="J90" s="265" t="str">
        <f>IF(AND('Mapa final'!$K$37="Muy Baja",'Mapa final'!$O$37="Leve"),CONCATENATE("R",'Mapa final'!$A$37),"")</f>
        <v/>
      </c>
      <c r="K90" s="266"/>
      <c r="L90" s="266" t="str">
        <f>IF(AND('Mapa final'!$K$40="Muy Baja",'Mapa final'!$O$40="Leve"),CONCATENATE("R",'Mapa final'!$A$40),"")</f>
        <v/>
      </c>
      <c r="M90" s="266"/>
      <c r="N90" s="266" t="str">
        <f>IF(AND('Mapa final'!$K$43="Muy Baja",'Mapa final'!$O$43="Leve"),CONCATENATE("R",'Mapa final'!$A$43),"")</f>
        <v/>
      </c>
      <c r="O90" s="266"/>
      <c r="P90" s="266" t="e">
        <f>IF(AND('Mapa final'!#REF!="Muy Baja",'Mapa final'!#REF!="Leve"),CONCATENATE("R",'Mapa final'!#REF!),"")</f>
        <v>#REF!</v>
      </c>
      <c r="Q90" s="266"/>
      <c r="R90" s="266" t="str">
        <f>IF(AND('Mapa final'!$K$46="Muy Baja",'Mapa final'!$O$46="Leve"),CONCATENATE("R",'Mapa final'!$A$46),"")</f>
        <v/>
      </c>
      <c r="S90" s="266"/>
      <c r="T90" s="265" t="str">
        <f>IF(AND('Mapa final'!$K$37="Muy Baja",'Mapa final'!$O$37="Menor"),CONCATENATE("R",'Mapa final'!$A$37),"")</f>
        <v/>
      </c>
      <c r="U90" s="266"/>
      <c r="V90" s="266" t="str">
        <f>IF(AND('Mapa final'!$K$40="Muy Baja",'Mapa final'!$O$40="Menor"),CONCATENATE("R",'Mapa final'!$A$40),"")</f>
        <v/>
      </c>
      <c r="W90" s="266"/>
      <c r="X90" s="266" t="str">
        <f>IF(AND('Mapa final'!$K$43="Muy Baja",'Mapa final'!$O$43="Menor"),CONCATENATE("R",'Mapa final'!$A$43),"")</f>
        <v/>
      </c>
      <c r="Y90" s="266"/>
      <c r="Z90" s="266" t="e">
        <f>IF(AND('Mapa final'!#REF!="Muy Baja",'Mapa final'!#REF!="Menor"),CONCATENATE("R",'Mapa final'!#REF!),"")</f>
        <v>#REF!</v>
      </c>
      <c r="AA90" s="266"/>
      <c r="AB90" s="266" t="str">
        <f>IF(AND('Mapa final'!$K$46="Muy Baja",'Mapa final'!$O$46="Menor"),CONCATENATE("R",'Mapa final'!$A$46),"")</f>
        <v/>
      </c>
      <c r="AC90" s="266"/>
      <c r="AD90" s="272" t="str">
        <f>IF(AND('Mapa final'!$K$37="Muy Baja",'Mapa final'!$O$37="Moderado"),CONCATENATE("R",'Mapa final'!$A$37),"")</f>
        <v/>
      </c>
      <c r="AE90" s="270"/>
      <c r="AF90" s="270" t="str">
        <f>IF(AND('Mapa final'!$K$40="Muy Baja",'Mapa final'!$O$40="Moderado"),CONCATENATE("R",'Mapa final'!$A$40),"")</f>
        <v/>
      </c>
      <c r="AG90" s="270"/>
      <c r="AH90" s="270" t="str">
        <f>IF(AND('Mapa final'!$K$43="Muy Baja",'Mapa final'!$O$43="Moderado"),CONCATENATE("R",'Mapa final'!$A$43),"")</f>
        <v>R13</v>
      </c>
      <c r="AI90" s="270"/>
      <c r="AJ90" s="270" t="e">
        <f>IF(AND('Mapa final'!#REF!="Muy Baja",'Mapa final'!#REF!="Moderado"),CONCATENATE("R",'Mapa final'!#REF!),"")</f>
        <v>#REF!</v>
      </c>
      <c r="AK90" s="270"/>
      <c r="AL90" s="270" t="str">
        <f>IF(AND('Mapa final'!$K$46="Muy Baja",'Mapa final'!$O$46="Moderado"),CONCATENATE("R",'Mapa final'!$A$46),"")</f>
        <v/>
      </c>
      <c r="AM90" s="271"/>
      <c r="AN90" s="276" t="str">
        <f>IF(AND('Mapa final'!$K$37="Muy Baja",'Mapa final'!$O$37="Mayor"),CONCATENATE("R",'Mapa final'!$A$37),"")</f>
        <v/>
      </c>
      <c r="AO90" s="273"/>
      <c r="AP90" s="273" t="str">
        <f>IF(AND('Mapa final'!$K$40="Muy Baja",'Mapa final'!$O$40="Mayor"),CONCATENATE("R",'Mapa final'!$A$40),"")</f>
        <v/>
      </c>
      <c r="AQ90" s="273"/>
      <c r="AR90" s="273" t="str">
        <f>IF(AND('Mapa final'!$K$43="Muy Baja",'Mapa final'!$O$43="Mayor"),CONCATENATE("R",'Mapa final'!$A$43),"")</f>
        <v/>
      </c>
      <c r="AS90" s="273"/>
      <c r="AT90" s="273" t="e">
        <f>IF(AND('Mapa final'!#REF!="Muy Baja",'Mapa final'!#REF!="Mayor"),CONCATENATE("R",'Mapa final'!#REF!),"")</f>
        <v>#REF!</v>
      </c>
      <c r="AU90" s="273"/>
      <c r="AV90" s="273" t="str">
        <f>IF(AND('Mapa final'!$K$46="Muy Baja",'Mapa final'!$O$46="Mayor"),CONCATENATE("R",'Mapa final'!$A$46),"")</f>
        <v/>
      </c>
      <c r="AW90" s="274"/>
      <c r="AX90" s="269" t="str">
        <f>IF(AND('Mapa final'!$K$37="Muy Baja",'Mapa final'!$O$37="Catastrófico"),CONCATENATE("R",'Mapa final'!$A$37),"")</f>
        <v/>
      </c>
      <c r="AY90" s="267"/>
      <c r="AZ90" s="267" t="str">
        <f>IF(AND('Mapa final'!$K$40="Muy Baja",'Mapa final'!$O$40="Catastrófico"),CONCATENATE("R",'Mapa final'!$A$40),"")</f>
        <v/>
      </c>
      <c r="BA90" s="267"/>
      <c r="BB90" s="267" t="str">
        <f>IF(AND('Mapa final'!$K$43="Muy Baja",'Mapa final'!$O$43="Catastrófico"),CONCATENATE("R",'Mapa final'!$A$43),"")</f>
        <v/>
      </c>
      <c r="BC90" s="267"/>
      <c r="BD90" s="267" t="e">
        <f>IF(AND('Mapa final'!#REF!="Muy Baja",'Mapa final'!#REF!="Catastrófico"),CONCATENATE("R",'Mapa final'!#REF!),"")</f>
        <v>#REF!</v>
      </c>
      <c r="BE90" s="267"/>
      <c r="BF90" s="267" t="str">
        <f>IF(AND('Mapa final'!$K$46="Muy Baja",'Mapa final'!$O$46="Catastrófico"),CONCATENATE("R",'Mapa final'!$A$46),"")</f>
        <v/>
      </c>
      <c r="BG90" s="268"/>
      <c r="BH90" s="58"/>
      <c r="BI90" s="323"/>
      <c r="BJ90" s="324"/>
      <c r="BK90" s="324"/>
      <c r="BL90" s="324"/>
      <c r="BM90" s="324"/>
      <c r="BN90" s="325"/>
      <c r="BO90" s="58"/>
      <c r="BP90" s="58"/>
      <c r="BQ90" s="58"/>
      <c r="BR90" s="58"/>
      <c r="BS90" s="58"/>
      <c r="BT90" s="58"/>
      <c r="BU90" s="58"/>
      <c r="BV90" s="58"/>
      <c r="BW90" s="58"/>
      <c r="BX90" s="58"/>
      <c r="BY90" s="58"/>
      <c r="BZ90" s="58"/>
      <c r="CA90" s="58"/>
      <c r="CB90" s="58"/>
      <c r="CC90" s="58"/>
      <c r="CD90" s="58"/>
      <c r="CE90" s="58"/>
      <c r="CF90" s="58"/>
      <c r="CG90" s="58"/>
      <c r="CH90" s="58"/>
      <c r="CI90" s="58"/>
      <c r="CJ90" s="58"/>
      <c r="CK90" s="58"/>
      <c r="CL90" s="58"/>
      <c r="CM90" s="58"/>
      <c r="CN90" s="58"/>
      <c r="CO90" s="58"/>
      <c r="CP90" s="58"/>
      <c r="CQ90" s="58"/>
      <c r="CR90" s="58"/>
      <c r="CS90" s="58"/>
      <c r="CT90" s="58"/>
      <c r="CU90" s="58"/>
      <c r="CV90" s="58"/>
    </row>
    <row r="91" spans="1:100" ht="15" customHeight="1" x14ac:dyDescent="0.25">
      <c r="A91" s="58"/>
      <c r="B91" s="356"/>
      <c r="C91" s="356"/>
      <c r="D91" s="357"/>
      <c r="E91" s="331"/>
      <c r="F91" s="332"/>
      <c r="G91" s="332"/>
      <c r="H91" s="332"/>
      <c r="I91" s="337"/>
      <c r="J91" s="265"/>
      <c r="K91" s="266"/>
      <c r="L91" s="266"/>
      <c r="M91" s="266"/>
      <c r="N91" s="266"/>
      <c r="O91" s="266"/>
      <c r="P91" s="266"/>
      <c r="Q91" s="266"/>
      <c r="R91" s="266"/>
      <c r="S91" s="266"/>
      <c r="T91" s="265"/>
      <c r="U91" s="266"/>
      <c r="V91" s="266"/>
      <c r="W91" s="266"/>
      <c r="X91" s="266"/>
      <c r="Y91" s="266"/>
      <c r="Z91" s="266"/>
      <c r="AA91" s="266"/>
      <c r="AB91" s="266"/>
      <c r="AC91" s="266"/>
      <c r="AD91" s="272"/>
      <c r="AE91" s="270"/>
      <c r="AF91" s="270"/>
      <c r="AG91" s="270"/>
      <c r="AH91" s="270"/>
      <c r="AI91" s="270"/>
      <c r="AJ91" s="270"/>
      <c r="AK91" s="270"/>
      <c r="AL91" s="270"/>
      <c r="AM91" s="271"/>
      <c r="AN91" s="276"/>
      <c r="AO91" s="273"/>
      <c r="AP91" s="273"/>
      <c r="AQ91" s="273"/>
      <c r="AR91" s="273"/>
      <c r="AS91" s="273"/>
      <c r="AT91" s="273"/>
      <c r="AU91" s="273"/>
      <c r="AV91" s="273"/>
      <c r="AW91" s="274"/>
      <c r="AX91" s="269"/>
      <c r="AY91" s="267"/>
      <c r="AZ91" s="267"/>
      <c r="BA91" s="267"/>
      <c r="BB91" s="267"/>
      <c r="BC91" s="267"/>
      <c r="BD91" s="267"/>
      <c r="BE91" s="267"/>
      <c r="BF91" s="267"/>
      <c r="BG91" s="268"/>
      <c r="BH91" s="58"/>
      <c r="BI91" s="323"/>
      <c r="BJ91" s="324"/>
      <c r="BK91" s="324"/>
      <c r="BL91" s="324"/>
      <c r="BM91" s="324"/>
      <c r="BN91" s="325"/>
      <c r="BO91" s="58"/>
      <c r="BP91" s="58"/>
      <c r="BQ91" s="58"/>
      <c r="BR91" s="58"/>
      <c r="BS91" s="58"/>
      <c r="BT91" s="58"/>
      <c r="BU91" s="58"/>
      <c r="BV91" s="58"/>
      <c r="BW91" s="58"/>
      <c r="BX91" s="58"/>
      <c r="BY91" s="58"/>
      <c r="BZ91" s="58"/>
      <c r="CA91" s="58"/>
      <c r="CB91" s="58"/>
      <c r="CC91" s="58"/>
      <c r="CD91" s="58"/>
      <c r="CE91" s="58"/>
      <c r="CF91" s="58"/>
      <c r="CG91" s="58"/>
      <c r="CH91" s="58"/>
      <c r="CI91" s="58"/>
      <c r="CJ91" s="58"/>
      <c r="CK91" s="58"/>
      <c r="CL91" s="58"/>
      <c r="CM91" s="58"/>
      <c r="CN91" s="58"/>
      <c r="CO91" s="58"/>
      <c r="CP91" s="58"/>
      <c r="CQ91" s="58"/>
      <c r="CR91" s="58"/>
      <c r="CS91" s="58"/>
      <c r="CT91" s="58"/>
      <c r="CU91" s="58"/>
      <c r="CV91" s="58"/>
    </row>
    <row r="92" spans="1:100" ht="15" customHeight="1" x14ac:dyDescent="0.25">
      <c r="A92" s="58"/>
      <c r="B92" s="356"/>
      <c r="C92" s="356"/>
      <c r="D92" s="357"/>
      <c r="E92" s="331"/>
      <c r="F92" s="332"/>
      <c r="G92" s="332"/>
      <c r="H92" s="332"/>
      <c r="I92" s="337"/>
      <c r="J92" s="265" t="str">
        <f>IF(AND('Mapa final'!$K$49="Muy Baja",'Mapa final'!$O$49="Leve"),CONCATENATE("R",'Mapa final'!$A$49),"")</f>
        <v/>
      </c>
      <c r="K92" s="266"/>
      <c r="L92" s="266" t="str">
        <f>IF(AND('Mapa final'!$K$52="Muy Baja",'Mapa final'!$O$52="Leve"),CONCATENATE("R",'Mapa final'!$A$52),"")</f>
        <v/>
      </c>
      <c r="M92" s="266"/>
      <c r="N92" s="266" t="str">
        <f>IF(AND('Mapa final'!$K$55="Muy Baja",'Mapa final'!$O$55="Leve"),CONCATENATE("R",'Mapa final'!$A$55),"")</f>
        <v/>
      </c>
      <c r="O92" s="266"/>
      <c r="P92" s="266" t="str">
        <f>IF(AND('Mapa final'!$K$58="Muy Baja",'Mapa final'!$O$58="Leve"),CONCATENATE("R",'Mapa final'!$A$58),"")</f>
        <v/>
      </c>
      <c r="Q92" s="266"/>
      <c r="R92" s="266" t="str">
        <f>IF(AND('Mapa final'!$K$61="Muy Baja",'Mapa final'!$O$61="Leve"),CONCATENATE("R",'Mapa final'!$A$61),"")</f>
        <v/>
      </c>
      <c r="S92" s="266"/>
      <c r="T92" s="265" t="str">
        <f>IF(AND('Mapa final'!$K$49="Muy Baja",'Mapa final'!$O$49="Menor"),CONCATENATE("R",'Mapa final'!$A$49),"")</f>
        <v/>
      </c>
      <c r="U92" s="266"/>
      <c r="V92" s="266" t="str">
        <f>IF(AND('Mapa final'!$K$52="Muy Baja",'Mapa final'!$O$52="Menor"),CONCATENATE("R",'Mapa final'!$A$52),"")</f>
        <v/>
      </c>
      <c r="W92" s="266"/>
      <c r="X92" s="266" t="str">
        <f>IF(AND('Mapa final'!$K$55="Muy Baja",'Mapa final'!$O$55="Menor"),CONCATENATE("R",'Mapa final'!$A$55),"")</f>
        <v/>
      </c>
      <c r="Y92" s="266"/>
      <c r="Z92" s="266" t="str">
        <f>IF(AND('Mapa final'!$K$58="Muy Baja",'Mapa final'!$O$58="Menor"),CONCATENATE("R",'Mapa final'!$A$58),"")</f>
        <v/>
      </c>
      <c r="AA92" s="266"/>
      <c r="AB92" s="266" t="str">
        <f>IF(AND('Mapa final'!$K$61="Muy Baja",'Mapa final'!$O$61="Menor"),CONCATENATE("R",'Mapa final'!$A$61),"")</f>
        <v/>
      </c>
      <c r="AC92" s="266"/>
      <c r="AD92" s="272" t="str">
        <f>IF(AND('Mapa final'!$K$49="Muy Baja",'Mapa final'!$O$49="Moderado"),CONCATENATE("R",'Mapa final'!$A$49),"")</f>
        <v/>
      </c>
      <c r="AE92" s="270"/>
      <c r="AF92" s="270" t="str">
        <f>IF(AND('Mapa final'!$K$52="Muy Baja",'Mapa final'!$O$52="Moderado"),CONCATENATE("R",'Mapa final'!$A$52),"")</f>
        <v/>
      </c>
      <c r="AG92" s="270"/>
      <c r="AH92" s="270" t="str">
        <f>IF(AND('Mapa final'!$K$55="Muy Baja",'Mapa final'!$O$55="Moderado"),CONCATENATE("R",'Mapa final'!$A$55),"")</f>
        <v/>
      </c>
      <c r="AI92" s="270"/>
      <c r="AJ92" s="270" t="str">
        <f>IF(AND('Mapa final'!$K$58="Muy Baja",'Mapa final'!$O$58="Moderado"),CONCATENATE("R",'Mapa final'!$A$58),"")</f>
        <v/>
      </c>
      <c r="AK92" s="270"/>
      <c r="AL92" s="270" t="str">
        <f>IF(AND('Mapa final'!$K$61="Muy Baja",'Mapa final'!$O$61="Moderado"),CONCATENATE("R",'Mapa final'!$A$61),"")</f>
        <v/>
      </c>
      <c r="AM92" s="271"/>
      <c r="AN92" s="276" t="str">
        <f>IF(AND('Mapa final'!$K$49="Muy Baja",'Mapa final'!$O$49="Mayor"),CONCATENATE("R",'Mapa final'!$A$49),"")</f>
        <v/>
      </c>
      <c r="AO92" s="273"/>
      <c r="AP92" s="273" t="str">
        <f>IF(AND('Mapa final'!$K$52="Muy Baja",'Mapa final'!$O$52="Mayor"),CONCATENATE("R",'Mapa final'!$A$52),"")</f>
        <v/>
      </c>
      <c r="AQ92" s="273"/>
      <c r="AR92" s="273" t="str">
        <f>IF(AND('Mapa final'!$K$55="Muy Baja",'Mapa final'!$O$55="Mayor"),CONCATENATE("R",'Mapa final'!$A$55),"")</f>
        <v/>
      </c>
      <c r="AS92" s="273"/>
      <c r="AT92" s="273" t="str">
        <f>IF(AND('Mapa final'!$K$58="Muy Baja",'Mapa final'!$O$58="Mayor"),CONCATENATE("R",'Mapa final'!$A$58),"")</f>
        <v/>
      </c>
      <c r="AU92" s="273"/>
      <c r="AV92" s="273" t="str">
        <f>IF(AND('Mapa final'!$K$61="Muy Baja",'Mapa final'!$O$61="Mayor"),CONCATENATE("R",'Mapa final'!$A$61),"")</f>
        <v/>
      </c>
      <c r="AW92" s="274"/>
      <c r="AX92" s="269" t="str">
        <f>IF(AND('Mapa final'!$K$49="Muy Baja",'Mapa final'!$O$49="Catastrófico"),CONCATENATE("R",'Mapa final'!$A$49),"")</f>
        <v/>
      </c>
      <c r="AY92" s="267"/>
      <c r="AZ92" s="267" t="str">
        <f>IF(AND('Mapa final'!$K$52="Muy Baja",'Mapa final'!$O$52="Catastrófico"),CONCATENATE("R",'Mapa final'!$A$52),"")</f>
        <v/>
      </c>
      <c r="BA92" s="267"/>
      <c r="BB92" s="267" t="str">
        <f>IF(AND('Mapa final'!$K$55="Muy Baja",'Mapa final'!$O$55="Catastrófico"),CONCATENATE("R",'Mapa final'!$A$55),"")</f>
        <v/>
      </c>
      <c r="BC92" s="267"/>
      <c r="BD92" s="267" t="str">
        <f>IF(AND('Mapa final'!$K$58="Muy Baja",'Mapa final'!$O$58="Catastrófico"),CONCATENATE("R",'Mapa final'!$A$58),"")</f>
        <v/>
      </c>
      <c r="BE92" s="267"/>
      <c r="BF92" s="267" t="str">
        <f>IF(AND('Mapa final'!$K$61="Muy Baja",'Mapa final'!$O$61="Catastrófico"),CONCATENATE("R",'Mapa final'!$A$61),"")</f>
        <v/>
      </c>
      <c r="BG92" s="268"/>
      <c r="BH92" s="58"/>
      <c r="BI92" s="323"/>
      <c r="BJ92" s="324"/>
      <c r="BK92" s="324"/>
      <c r="BL92" s="324"/>
      <c r="BM92" s="324"/>
      <c r="BN92" s="325"/>
      <c r="BO92" s="58"/>
      <c r="BP92" s="58"/>
      <c r="BQ92" s="58"/>
      <c r="BR92" s="58"/>
      <c r="BS92" s="58"/>
      <c r="BT92" s="58"/>
      <c r="BU92" s="58"/>
      <c r="BV92" s="58"/>
      <c r="BW92" s="58"/>
      <c r="BX92" s="58"/>
      <c r="BY92" s="58"/>
      <c r="BZ92" s="58"/>
      <c r="CA92" s="58"/>
      <c r="CB92" s="58"/>
      <c r="CC92" s="58"/>
      <c r="CD92" s="58"/>
      <c r="CE92" s="58"/>
      <c r="CF92" s="58"/>
      <c r="CG92" s="58"/>
      <c r="CH92" s="58"/>
      <c r="CI92" s="58"/>
      <c r="CJ92" s="58"/>
      <c r="CK92" s="58"/>
      <c r="CL92" s="58"/>
      <c r="CM92" s="58"/>
      <c r="CN92" s="58"/>
      <c r="CO92" s="58"/>
      <c r="CP92" s="58"/>
      <c r="CQ92" s="58"/>
      <c r="CR92" s="58"/>
      <c r="CS92" s="58"/>
      <c r="CT92" s="58"/>
      <c r="CU92" s="58"/>
      <c r="CV92" s="58"/>
    </row>
    <row r="93" spans="1:100" ht="15" customHeight="1" x14ac:dyDescent="0.25">
      <c r="A93" s="58"/>
      <c r="B93" s="356"/>
      <c r="C93" s="356"/>
      <c r="D93" s="357"/>
      <c r="E93" s="331"/>
      <c r="F93" s="332"/>
      <c r="G93" s="332"/>
      <c r="H93" s="332"/>
      <c r="I93" s="337"/>
      <c r="J93" s="265"/>
      <c r="K93" s="266"/>
      <c r="L93" s="266"/>
      <c r="M93" s="266"/>
      <c r="N93" s="266"/>
      <c r="O93" s="266"/>
      <c r="P93" s="266"/>
      <c r="Q93" s="266"/>
      <c r="R93" s="266"/>
      <c r="S93" s="266"/>
      <c r="T93" s="265"/>
      <c r="U93" s="266"/>
      <c r="V93" s="266"/>
      <c r="W93" s="266"/>
      <c r="X93" s="266"/>
      <c r="Y93" s="266"/>
      <c r="Z93" s="266"/>
      <c r="AA93" s="266"/>
      <c r="AB93" s="266"/>
      <c r="AC93" s="266"/>
      <c r="AD93" s="272"/>
      <c r="AE93" s="270"/>
      <c r="AF93" s="270"/>
      <c r="AG93" s="270"/>
      <c r="AH93" s="270"/>
      <c r="AI93" s="270"/>
      <c r="AJ93" s="270"/>
      <c r="AK93" s="270"/>
      <c r="AL93" s="270"/>
      <c r="AM93" s="271"/>
      <c r="AN93" s="276"/>
      <c r="AO93" s="273"/>
      <c r="AP93" s="273"/>
      <c r="AQ93" s="273"/>
      <c r="AR93" s="273"/>
      <c r="AS93" s="273"/>
      <c r="AT93" s="273"/>
      <c r="AU93" s="273"/>
      <c r="AV93" s="273"/>
      <c r="AW93" s="274"/>
      <c r="AX93" s="269"/>
      <c r="AY93" s="267"/>
      <c r="AZ93" s="267"/>
      <c r="BA93" s="267"/>
      <c r="BB93" s="267"/>
      <c r="BC93" s="267"/>
      <c r="BD93" s="267"/>
      <c r="BE93" s="267"/>
      <c r="BF93" s="267"/>
      <c r="BG93" s="268"/>
      <c r="BH93" s="58"/>
      <c r="BI93" s="323"/>
      <c r="BJ93" s="324"/>
      <c r="BK93" s="324"/>
      <c r="BL93" s="324"/>
      <c r="BM93" s="324"/>
      <c r="BN93" s="325"/>
      <c r="BO93" s="58"/>
      <c r="BP93" s="58"/>
      <c r="BQ93" s="58"/>
      <c r="BR93" s="58"/>
      <c r="BS93" s="58"/>
      <c r="BT93" s="58"/>
      <c r="BU93" s="58"/>
      <c r="BV93" s="58"/>
      <c r="BW93" s="58"/>
      <c r="BX93" s="58"/>
      <c r="BY93" s="58"/>
      <c r="BZ93" s="58"/>
      <c r="CA93" s="58"/>
      <c r="CB93" s="58"/>
      <c r="CC93" s="58"/>
      <c r="CD93" s="58"/>
      <c r="CE93" s="58"/>
      <c r="CF93" s="58"/>
      <c r="CG93" s="58"/>
      <c r="CH93" s="58"/>
      <c r="CI93" s="58"/>
      <c r="CJ93" s="58"/>
      <c r="CK93" s="58"/>
      <c r="CL93" s="58"/>
      <c r="CM93" s="58"/>
      <c r="CN93" s="58"/>
      <c r="CO93" s="58"/>
      <c r="CP93" s="58"/>
      <c r="CQ93" s="58"/>
      <c r="CR93" s="58"/>
      <c r="CS93" s="58"/>
      <c r="CT93" s="58"/>
      <c r="CU93" s="58"/>
      <c r="CV93" s="58"/>
    </row>
    <row r="94" spans="1:100" ht="15" customHeight="1" x14ac:dyDescent="0.25">
      <c r="A94" s="58"/>
      <c r="B94" s="356"/>
      <c r="C94" s="356"/>
      <c r="D94" s="357"/>
      <c r="E94" s="331"/>
      <c r="F94" s="332"/>
      <c r="G94" s="332"/>
      <c r="H94" s="332"/>
      <c r="I94" s="337"/>
      <c r="J94" s="265" t="str">
        <f>IF(AND('Mapa final'!$K$64="Muy Baja",'Mapa final'!$O$64="Leve"),CONCATENATE("R",'Mapa final'!$A$64),"")</f>
        <v/>
      </c>
      <c r="K94" s="266"/>
      <c r="L94" s="266" t="str">
        <f>IF(AND('Mapa final'!$K$67="Muy Baja",'Mapa final'!$O$67="Leve"),CONCATENATE("R",'Mapa final'!$A$67),"")</f>
        <v/>
      </c>
      <c r="M94" s="266"/>
      <c r="N94" s="266" t="str">
        <f>IF(AND('Mapa final'!$K$70="Muy Baja",'Mapa final'!$O$70="Leve"),CONCATENATE("R",'Mapa final'!$A$70),"")</f>
        <v/>
      </c>
      <c r="O94" s="266"/>
      <c r="P94" s="266" t="str">
        <f>IF(AND('Mapa final'!$K$73="Muy Baja",'Mapa final'!$O$73="Leve"),CONCATENATE("R",'Mapa final'!$A$73),"")</f>
        <v/>
      </c>
      <c r="Q94" s="266"/>
      <c r="R94" s="266" t="str">
        <f>IF(AND('Mapa final'!$K$76="Muy Baja",'Mapa final'!$O$76="Leve"),CONCATENATE("R",'Mapa final'!$A$76),"")</f>
        <v/>
      </c>
      <c r="S94" s="266"/>
      <c r="T94" s="265" t="str">
        <f>IF(AND('Mapa final'!$K$64="Muy Baja",'Mapa final'!$O$64="Menor"),CONCATENATE("R",'Mapa final'!$A$64),"")</f>
        <v/>
      </c>
      <c r="U94" s="266"/>
      <c r="V94" s="266" t="str">
        <f>IF(AND('Mapa final'!$K$67="Muy Baja",'Mapa final'!$O$67="Menor"),CONCATENATE("R",'Mapa final'!$A$67),"")</f>
        <v/>
      </c>
      <c r="W94" s="266"/>
      <c r="X94" s="266" t="str">
        <f>IF(AND('Mapa final'!$K$70="Muy Baja",'Mapa final'!$O$70="Menor"),CONCATENATE("R",'Mapa final'!$A$70),"")</f>
        <v/>
      </c>
      <c r="Y94" s="266"/>
      <c r="Z94" s="266" t="str">
        <f>IF(AND('Mapa final'!$K$73="Muy Baja",'Mapa final'!$O$73="Menor"),CONCATENATE("R",'Mapa final'!$A$73),"")</f>
        <v/>
      </c>
      <c r="AA94" s="266"/>
      <c r="AB94" s="266" t="str">
        <f>IF(AND('Mapa final'!$K$76="Muy Baja",'Mapa final'!$O$76="Menor"),CONCATENATE("R",'Mapa final'!$A$76),"")</f>
        <v/>
      </c>
      <c r="AC94" s="266"/>
      <c r="AD94" s="272" t="str">
        <f>IF(AND('Mapa final'!$K$64="Muy Baja",'Mapa final'!$O$64="Moderado"),CONCATENATE("R",'Mapa final'!$A$64),"")</f>
        <v/>
      </c>
      <c r="AE94" s="270"/>
      <c r="AF94" s="270" t="str">
        <f>IF(AND('Mapa final'!$K$67="Muy Baja",'Mapa final'!$O$67="Moderado"),CONCATENATE("R",'Mapa final'!$A$67),"")</f>
        <v/>
      </c>
      <c r="AG94" s="270"/>
      <c r="AH94" s="270" t="str">
        <f>IF(AND('Mapa final'!$K$70="Muy Baja",'Mapa final'!$O$70="Moderado"),CONCATENATE("R",'Mapa final'!$A$70),"")</f>
        <v/>
      </c>
      <c r="AI94" s="270"/>
      <c r="AJ94" s="270" t="str">
        <f>IF(AND('Mapa final'!$K$73="Muy Baja",'Mapa final'!$O$73="Moderado"),CONCATENATE("R",'Mapa final'!$A$73),"")</f>
        <v/>
      </c>
      <c r="AK94" s="270"/>
      <c r="AL94" s="270" t="str">
        <f>IF(AND('Mapa final'!$K$76="Muy Baja",'Mapa final'!$O$76="Moderado"),CONCATENATE("R",'Mapa final'!$A$76),"")</f>
        <v/>
      </c>
      <c r="AM94" s="271"/>
      <c r="AN94" s="276" t="str">
        <f>IF(AND('Mapa final'!$K$64="Muy Baja",'Mapa final'!$O$64="Mayor"),CONCATENATE("R",'Mapa final'!$A$64),"")</f>
        <v/>
      </c>
      <c r="AO94" s="273"/>
      <c r="AP94" s="273" t="str">
        <f>IF(AND('Mapa final'!$K$67="Muy Baja",'Mapa final'!$O$67="Mayor"),CONCATENATE("R",'Mapa final'!$A$67),"")</f>
        <v/>
      </c>
      <c r="AQ94" s="273"/>
      <c r="AR94" s="273" t="str">
        <f>IF(AND('Mapa final'!$K$70="Muy Baja",'Mapa final'!$O$70="Mayor"),CONCATENATE("R",'Mapa final'!$A$70),"")</f>
        <v/>
      </c>
      <c r="AS94" s="273"/>
      <c r="AT94" s="273" t="str">
        <f>IF(AND('Mapa final'!$K$73="Muy Baja",'Mapa final'!$O$73="Mayor"),CONCATENATE("R",'Mapa final'!$A$73),"")</f>
        <v/>
      </c>
      <c r="AU94" s="273"/>
      <c r="AV94" s="273" t="str">
        <f>IF(AND('Mapa final'!$K$76="Muy Baja",'Mapa final'!$O$76="Mayor"),CONCATENATE("R",'Mapa final'!$A$76),"")</f>
        <v/>
      </c>
      <c r="AW94" s="274"/>
      <c r="AX94" s="269" t="str">
        <f>IF(AND('Mapa final'!$K$64="Muy Baja",'Mapa final'!$O$64="Catastrófico"),CONCATENATE("R",'Mapa final'!$A$64),"")</f>
        <v/>
      </c>
      <c r="AY94" s="267"/>
      <c r="AZ94" s="267" t="str">
        <f>IF(AND('Mapa final'!$K$67="Muy Baja",'Mapa final'!$O$67="Catastrófico"),CONCATENATE("R",'Mapa final'!$A$67),"")</f>
        <v/>
      </c>
      <c r="BA94" s="267"/>
      <c r="BB94" s="267" t="str">
        <f>IF(AND('Mapa final'!$K$70="Muy Baja",'Mapa final'!$O$70="Catastrófico"),CONCATENATE("R",'Mapa final'!$A$70),"")</f>
        <v/>
      </c>
      <c r="BC94" s="267"/>
      <c r="BD94" s="267" t="str">
        <f>IF(AND('Mapa final'!$K$73="Muy Baja",'Mapa final'!$O$73="Catastrófico"),CONCATENATE("R",'Mapa final'!$A$73),"")</f>
        <v/>
      </c>
      <c r="BE94" s="267"/>
      <c r="BF94" s="267" t="str">
        <f>IF(AND('Mapa final'!$K$76="Muy Baja",'Mapa final'!$O$76="Catastrófico"),CONCATENATE("R",'Mapa final'!$A$76),"")</f>
        <v/>
      </c>
      <c r="BG94" s="268"/>
      <c r="BH94" s="58"/>
      <c r="BI94" s="323"/>
      <c r="BJ94" s="324"/>
      <c r="BK94" s="324"/>
      <c r="BL94" s="324"/>
      <c r="BM94" s="324"/>
      <c r="BN94" s="325"/>
      <c r="BO94" s="58"/>
      <c r="BP94" s="58"/>
      <c r="BQ94" s="58"/>
      <c r="BR94" s="58"/>
      <c r="BS94" s="58"/>
      <c r="BT94" s="58"/>
      <c r="BU94" s="58"/>
      <c r="BV94" s="58"/>
      <c r="BW94" s="58"/>
      <c r="BX94" s="58"/>
      <c r="BY94" s="58"/>
      <c r="BZ94" s="58"/>
      <c r="CA94" s="58"/>
      <c r="CB94" s="58"/>
      <c r="CC94" s="58"/>
      <c r="CD94" s="58"/>
      <c r="CE94" s="58"/>
      <c r="CF94" s="58"/>
      <c r="CG94" s="58"/>
      <c r="CH94" s="58"/>
      <c r="CI94" s="58"/>
      <c r="CJ94" s="58"/>
      <c r="CK94" s="58"/>
      <c r="CL94" s="58"/>
      <c r="CM94" s="58"/>
      <c r="CN94" s="58"/>
      <c r="CO94" s="58"/>
      <c r="CP94" s="58"/>
      <c r="CQ94" s="58"/>
      <c r="CR94" s="58"/>
      <c r="CS94" s="58"/>
      <c r="CT94" s="58"/>
      <c r="CU94" s="58"/>
      <c r="CV94" s="58"/>
    </row>
    <row r="95" spans="1:100" ht="15" customHeight="1" x14ac:dyDescent="0.25">
      <c r="A95" s="58"/>
      <c r="B95" s="356"/>
      <c r="C95" s="356"/>
      <c r="D95" s="357"/>
      <c r="E95" s="331"/>
      <c r="F95" s="332"/>
      <c r="G95" s="332"/>
      <c r="H95" s="332"/>
      <c r="I95" s="337"/>
      <c r="J95" s="265"/>
      <c r="K95" s="266"/>
      <c r="L95" s="266"/>
      <c r="M95" s="266"/>
      <c r="N95" s="266"/>
      <c r="O95" s="266"/>
      <c r="P95" s="266"/>
      <c r="Q95" s="266"/>
      <c r="R95" s="266"/>
      <c r="S95" s="266"/>
      <c r="T95" s="265"/>
      <c r="U95" s="266"/>
      <c r="V95" s="266"/>
      <c r="W95" s="266"/>
      <c r="X95" s="266"/>
      <c r="Y95" s="266"/>
      <c r="Z95" s="266"/>
      <c r="AA95" s="266"/>
      <c r="AB95" s="266"/>
      <c r="AC95" s="266"/>
      <c r="AD95" s="272"/>
      <c r="AE95" s="270"/>
      <c r="AF95" s="270"/>
      <c r="AG95" s="270"/>
      <c r="AH95" s="270"/>
      <c r="AI95" s="270"/>
      <c r="AJ95" s="270"/>
      <c r="AK95" s="270"/>
      <c r="AL95" s="270"/>
      <c r="AM95" s="271"/>
      <c r="AN95" s="276"/>
      <c r="AO95" s="273"/>
      <c r="AP95" s="273"/>
      <c r="AQ95" s="273"/>
      <c r="AR95" s="273"/>
      <c r="AS95" s="273"/>
      <c r="AT95" s="273"/>
      <c r="AU95" s="273"/>
      <c r="AV95" s="273"/>
      <c r="AW95" s="274"/>
      <c r="AX95" s="269"/>
      <c r="AY95" s="267"/>
      <c r="AZ95" s="267"/>
      <c r="BA95" s="267"/>
      <c r="BB95" s="267"/>
      <c r="BC95" s="267"/>
      <c r="BD95" s="267"/>
      <c r="BE95" s="267"/>
      <c r="BF95" s="267"/>
      <c r="BG95" s="268"/>
      <c r="BH95" s="58"/>
      <c r="BI95" s="323"/>
      <c r="BJ95" s="324"/>
      <c r="BK95" s="324"/>
      <c r="BL95" s="324"/>
      <c r="BM95" s="324"/>
      <c r="BN95" s="325"/>
      <c r="BO95" s="58"/>
      <c r="BP95" s="58"/>
      <c r="BQ95" s="58"/>
      <c r="BR95" s="58"/>
      <c r="BS95" s="58"/>
      <c r="BT95" s="58"/>
      <c r="BU95" s="58"/>
      <c r="BV95" s="58"/>
      <c r="BW95" s="58"/>
      <c r="BX95" s="58"/>
      <c r="BY95" s="58"/>
      <c r="BZ95" s="58"/>
      <c r="CA95" s="58"/>
      <c r="CB95" s="58"/>
      <c r="CC95" s="58"/>
      <c r="CD95" s="58"/>
      <c r="CE95" s="58"/>
      <c r="CF95" s="58"/>
      <c r="CG95" s="58"/>
      <c r="CH95" s="58"/>
      <c r="CI95" s="58"/>
      <c r="CJ95" s="58"/>
      <c r="CK95" s="58"/>
      <c r="CL95" s="58"/>
      <c r="CM95" s="58"/>
      <c r="CN95" s="58"/>
      <c r="CO95" s="58"/>
      <c r="CP95" s="58"/>
      <c r="CQ95" s="58"/>
      <c r="CR95" s="58"/>
      <c r="CS95" s="58"/>
      <c r="CT95" s="58"/>
      <c r="CU95" s="58"/>
      <c r="CV95" s="58"/>
    </row>
    <row r="96" spans="1:100" ht="15" customHeight="1" x14ac:dyDescent="0.25">
      <c r="A96" s="58"/>
      <c r="B96" s="356"/>
      <c r="C96" s="356"/>
      <c r="D96" s="357"/>
      <c r="E96" s="331"/>
      <c r="F96" s="332"/>
      <c r="G96" s="332"/>
      <c r="H96" s="332"/>
      <c r="I96" s="337"/>
      <c r="J96" s="265" t="str">
        <f>IF(AND('Mapa final'!$K$79="Muy Baja",'Mapa final'!$O$79="Leve"),CONCATENATE("R",'Mapa final'!$A$79),"")</f>
        <v/>
      </c>
      <c r="K96" s="266"/>
      <c r="L96" s="266" t="str">
        <f>IF(AND('Mapa final'!$K$82="Muy Baja",'Mapa final'!$O$82="Leve"),CONCATENATE("R",'Mapa final'!$A$82),"")</f>
        <v/>
      </c>
      <c r="M96" s="266"/>
      <c r="N96" s="266" t="str">
        <f>IF(AND('Mapa final'!$K$85="Muy Baja",'Mapa final'!$O$85="Leve"),CONCATENATE("R",'Mapa final'!$A$85),"")</f>
        <v/>
      </c>
      <c r="O96" s="266"/>
      <c r="P96" s="266" t="str">
        <f>IF(AND('Mapa final'!$K$88="Muy Baja",'Mapa final'!$O$88="Leve"),CONCATENATE("R",'Mapa final'!$A$88),"")</f>
        <v/>
      </c>
      <c r="Q96" s="266"/>
      <c r="R96" s="266" t="str">
        <f>IF(AND('Mapa final'!$K$91="Muy Baja",'Mapa final'!$O$91="Leve"),CONCATENATE("R",'Mapa final'!$A$91),"")</f>
        <v/>
      </c>
      <c r="S96" s="266"/>
      <c r="T96" s="265" t="str">
        <f>IF(AND('Mapa final'!$K$79="Muy Baja",'Mapa final'!$O$79="Menor"),CONCATENATE("R",'Mapa final'!$A$79),"")</f>
        <v/>
      </c>
      <c r="U96" s="266"/>
      <c r="V96" s="266" t="str">
        <f>IF(AND('Mapa final'!$K$82="Muy Baja",'Mapa final'!$O$82="Menor"),CONCATENATE("R",'Mapa final'!$A$82),"")</f>
        <v/>
      </c>
      <c r="W96" s="266"/>
      <c r="X96" s="266" t="str">
        <f>IF(AND('Mapa final'!$K$85="Muy Baja",'Mapa final'!$O$85="Menor"),CONCATENATE("R",'Mapa final'!$A$85),"")</f>
        <v/>
      </c>
      <c r="Y96" s="266"/>
      <c r="Z96" s="266" t="str">
        <f>IF(AND('Mapa final'!$K$88="Muy Baja",'Mapa final'!$O$88="Menor"),CONCATENATE("R",'Mapa final'!$A$88),"")</f>
        <v/>
      </c>
      <c r="AA96" s="266"/>
      <c r="AB96" s="266" t="str">
        <f>IF(AND('Mapa final'!$K$91="Muy Baja",'Mapa final'!$O$91="Menor"),CONCATENATE("R",'Mapa final'!$A$91),"")</f>
        <v/>
      </c>
      <c r="AC96" s="266"/>
      <c r="AD96" s="272" t="str">
        <f>IF(AND('Mapa final'!$K$79="Muy Baja",'Mapa final'!$O$79="Moderado"),CONCATENATE("R",'Mapa final'!$A$79),"")</f>
        <v/>
      </c>
      <c r="AE96" s="270"/>
      <c r="AF96" s="270" t="str">
        <f>IF(AND('Mapa final'!$K$82="Muy Baja",'Mapa final'!$O$82="Moderado"),CONCATENATE("R",'Mapa final'!$A$82),"")</f>
        <v/>
      </c>
      <c r="AG96" s="270"/>
      <c r="AH96" s="270" t="str">
        <f>IF(AND('Mapa final'!$K$85="Muy Baja",'Mapa final'!$O$85="Moderado"),CONCATENATE("R",'Mapa final'!$A$85),"")</f>
        <v/>
      </c>
      <c r="AI96" s="270"/>
      <c r="AJ96" s="270" t="str">
        <f>IF(AND('Mapa final'!$K$88="Muy Baja",'Mapa final'!$O$88="Moderado"),CONCATENATE("R",'Mapa final'!$A$88),"")</f>
        <v/>
      </c>
      <c r="AK96" s="270"/>
      <c r="AL96" s="270" t="str">
        <f>IF(AND('Mapa final'!$K$91="Muy Baja",'Mapa final'!$O$91="Moderado"),CONCATENATE("R",'Mapa final'!$A$91),"")</f>
        <v/>
      </c>
      <c r="AM96" s="271"/>
      <c r="AN96" s="276" t="str">
        <f>IF(AND('Mapa final'!$K$79="Muy Baja",'Mapa final'!$O$79="Mayor"),CONCATENATE("R",'Mapa final'!$A$79),"")</f>
        <v/>
      </c>
      <c r="AO96" s="273"/>
      <c r="AP96" s="273" t="str">
        <f>IF(AND('Mapa final'!$K$82="Muy Baja",'Mapa final'!$O$82="Mayor"),CONCATENATE("R",'Mapa final'!$A$82),"")</f>
        <v/>
      </c>
      <c r="AQ96" s="273"/>
      <c r="AR96" s="273" t="str">
        <f>IF(AND('Mapa final'!$K$85="Muy Baja",'Mapa final'!$O$85="Mayor"),CONCATENATE("R",'Mapa final'!$A$85),"")</f>
        <v/>
      </c>
      <c r="AS96" s="273"/>
      <c r="AT96" s="273" t="str">
        <f>IF(AND('Mapa final'!$K$88="Muy Baja",'Mapa final'!$O$88="Mayor"),CONCATENATE("R",'Mapa final'!$A$88),"")</f>
        <v/>
      </c>
      <c r="AU96" s="273"/>
      <c r="AV96" s="273" t="str">
        <f>IF(AND('Mapa final'!$K$91="Muy Baja",'Mapa final'!$O$91="Mayor"),CONCATENATE("R",'Mapa final'!$A$91),"")</f>
        <v/>
      </c>
      <c r="AW96" s="274"/>
      <c r="AX96" s="269" t="str">
        <f>IF(AND('Mapa final'!$K$79="Muy Baja",'Mapa final'!$O$79="Catastrófico"),CONCATENATE("R",'Mapa final'!$A$79),"")</f>
        <v/>
      </c>
      <c r="AY96" s="267"/>
      <c r="AZ96" s="267" t="str">
        <f>IF(AND('Mapa final'!$K$82="Muy Baja",'Mapa final'!$O$82="Catastrófico"),CONCATENATE("R",'Mapa final'!$A$82),"")</f>
        <v/>
      </c>
      <c r="BA96" s="267"/>
      <c r="BB96" s="267" t="str">
        <f>IF(AND('Mapa final'!$K$85="Muy Baja",'Mapa final'!$O$85="Catastrófico"),CONCATENATE("R",'Mapa final'!$A$85),"")</f>
        <v/>
      </c>
      <c r="BC96" s="267"/>
      <c r="BD96" s="267" t="str">
        <f>IF(AND('Mapa final'!$K$88="Muy Baja",'Mapa final'!$O$88="Catastrófico"),CONCATENATE("R",'Mapa final'!$A$88),"")</f>
        <v/>
      </c>
      <c r="BE96" s="267"/>
      <c r="BF96" s="267" t="str">
        <f>IF(AND('Mapa final'!$K$91="Muy Baja",'Mapa final'!$O$91="Catastrófico"),CONCATENATE("R",'Mapa final'!$A$91),"")</f>
        <v/>
      </c>
      <c r="BG96" s="268"/>
      <c r="BH96" s="58"/>
      <c r="BI96" s="323"/>
      <c r="BJ96" s="324"/>
      <c r="BK96" s="324"/>
      <c r="BL96" s="324"/>
      <c r="BM96" s="324"/>
      <c r="BN96" s="325"/>
      <c r="BO96" s="58"/>
      <c r="BP96" s="58"/>
      <c r="BQ96" s="58"/>
      <c r="BR96" s="58"/>
      <c r="BS96" s="58"/>
      <c r="BT96" s="58"/>
      <c r="BU96" s="58"/>
      <c r="BV96" s="58"/>
      <c r="BW96" s="58"/>
      <c r="BX96" s="58"/>
      <c r="BY96" s="58"/>
      <c r="BZ96" s="58"/>
      <c r="CA96" s="58"/>
      <c r="CB96" s="58"/>
      <c r="CC96" s="58"/>
      <c r="CD96" s="58"/>
      <c r="CE96" s="58"/>
      <c r="CF96" s="58"/>
      <c r="CG96" s="58"/>
      <c r="CH96" s="58"/>
      <c r="CI96" s="58"/>
      <c r="CJ96" s="58"/>
      <c r="CK96" s="58"/>
      <c r="CL96" s="58"/>
      <c r="CM96" s="58"/>
      <c r="CN96" s="58"/>
      <c r="CO96" s="58"/>
      <c r="CP96" s="58"/>
      <c r="CQ96" s="58"/>
      <c r="CR96" s="58"/>
      <c r="CS96" s="58"/>
      <c r="CT96" s="58"/>
      <c r="CU96" s="58"/>
      <c r="CV96" s="58"/>
    </row>
    <row r="97" spans="1:100" ht="15" customHeight="1" thickBot="1" x14ac:dyDescent="0.3">
      <c r="A97" s="58"/>
      <c r="B97" s="356"/>
      <c r="C97" s="356"/>
      <c r="D97" s="357"/>
      <c r="E97" s="331"/>
      <c r="F97" s="332"/>
      <c r="G97" s="332"/>
      <c r="H97" s="332"/>
      <c r="I97" s="337"/>
      <c r="J97" s="265"/>
      <c r="K97" s="266"/>
      <c r="L97" s="266"/>
      <c r="M97" s="266"/>
      <c r="N97" s="266"/>
      <c r="O97" s="266"/>
      <c r="P97" s="266"/>
      <c r="Q97" s="266"/>
      <c r="R97" s="266"/>
      <c r="S97" s="266"/>
      <c r="T97" s="265"/>
      <c r="U97" s="266"/>
      <c r="V97" s="266"/>
      <c r="W97" s="266"/>
      <c r="X97" s="266"/>
      <c r="Y97" s="266"/>
      <c r="Z97" s="266"/>
      <c r="AA97" s="266"/>
      <c r="AB97" s="266"/>
      <c r="AC97" s="266"/>
      <c r="AD97" s="272"/>
      <c r="AE97" s="270"/>
      <c r="AF97" s="270"/>
      <c r="AG97" s="270"/>
      <c r="AH97" s="270"/>
      <c r="AI97" s="270"/>
      <c r="AJ97" s="270"/>
      <c r="AK97" s="270"/>
      <c r="AL97" s="270"/>
      <c r="AM97" s="271"/>
      <c r="AN97" s="276"/>
      <c r="AO97" s="273"/>
      <c r="AP97" s="273"/>
      <c r="AQ97" s="273"/>
      <c r="AR97" s="273"/>
      <c r="AS97" s="273"/>
      <c r="AT97" s="273"/>
      <c r="AU97" s="273"/>
      <c r="AV97" s="273"/>
      <c r="AW97" s="274"/>
      <c r="AX97" s="269"/>
      <c r="AY97" s="267"/>
      <c r="AZ97" s="267"/>
      <c r="BA97" s="267"/>
      <c r="BB97" s="267"/>
      <c r="BC97" s="267"/>
      <c r="BD97" s="267"/>
      <c r="BE97" s="267"/>
      <c r="BF97" s="267"/>
      <c r="BG97" s="268"/>
      <c r="BH97" s="58"/>
      <c r="BI97" s="326"/>
      <c r="BJ97" s="327"/>
      <c r="BK97" s="327"/>
      <c r="BL97" s="327"/>
      <c r="BM97" s="327"/>
      <c r="BN97" s="328"/>
      <c r="BO97" s="58"/>
      <c r="BP97" s="58"/>
      <c r="BQ97" s="58"/>
      <c r="BR97" s="58"/>
      <c r="BS97" s="58"/>
      <c r="BT97" s="58"/>
      <c r="BU97" s="58"/>
      <c r="BV97" s="58"/>
      <c r="BW97" s="58"/>
      <c r="BX97" s="58"/>
      <c r="BY97" s="58"/>
      <c r="BZ97" s="58"/>
      <c r="CA97" s="58"/>
      <c r="CB97" s="58"/>
      <c r="CC97" s="58"/>
      <c r="CD97" s="58"/>
      <c r="CE97" s="58"/>
      <c r="CF97" s="58"/>
      <c r="CG97" s="58"/>
      <c r="CH97" s="58"/>
      <c r="CI97" s="58"/>
      <c r="CJ97" s="58"/>
      <c r="CK97" s="58"/>
      <c r="CL97" s="58"/>
      <c r="CM97" s="58"/>
      <c r="CN97" s="58"/>
      <c r="CO97" s="58"/>
      <c r="CP97" s="58"/>
      <c r="CQ97" s="58"/>
      <c r="CR97" s="58"/>
      <c r="CS97" s="58"/>
      <c r="CT97" s="58"/>
      <c r="CU97" s="58"/>
      <c r="CV97" s="58"/>
    </row>
    <row r="98" spans="1:100" ht="15" customHeight="1" x14ac:dyDescent="0.25">
      <c r="A98" s="58"/>
      <c r="B98" s="356"/>
      <c r="C98" s="356"/>
      <c r="D98" s="357"/>
      <c r="E98" s="331"/>
      <c r="F98" s="332"/>
      <c r="G98" s="332"/>
      <c r="H98" s="332"/>
      <c r="I98" s="337"/>
      <c r="J98" s="265" t="str">
        <f>IF(AND('Mapa final'!$K$94="Muy Baja",'Mapa final'!$O$94="Leve"),CONCATENATE("R",'Mapa final'!$A$94),"")</f>
        <v/>
      </c>
      <c r="K98" s="266"/>
      <c r="L98" s="266" t="str">
        <f>IF(AND('Mapa final'!$K$97="Muy Baja",'Mapa final'!$O$97="Leve"),CONCATENATE("R",'Mapa final'!$A$97),"")</f>
        <v/>
      </c>
      <c r="M98" s="266"/>
      <c r="N98" s="266" t="str">
        <f>IF(AND('Mapa final'!$K$100="Muy Baja",'Mapa final'!$O$100="Leve"),CONCATENATE("R",'Mapa final'!$A$100),"")</f>
        <v/>
      </c>
      <c r="O98" s="266"/>
      <c r="P98" s="266" t="str">
        <f>IF(AND('Mapa final'!$K$103="Muy Baja",'Mapa final'!$O$103="Leve"),CONCATENATE("R",'Mapa final'!$A$103),"")</f>
        <v/>
      </c>
      <c r="Q98" s="266"/>
      <c r="R98" s="266" t="str">
        <f>IF(AND('Mapa final'!$K$106="Muy Baja",'Mapa final'!$O$106="Leve"),CONCATENATE("R",'Mapa final'!$A$106),"")</f>
        <v/>
      </c>
      <c r="S98" s="266"/>
      <c r="T98" s="265" t="str">
        <f>IF(AND('Mapa final'!$K$94="Muy Baja",'Mapa final'!$O$94="Menor"),CONCATENATE("R",'Mapa final'!$A$94),"")</f>
        <v/>
      </c>
      <c r="U98" s="266"/>
      <c r="V98" s="266" t="str">
        <f>IF(AND('Mapa final'!$K$97="Muy Baja",'Mapa final'!$O$97="Menor"),CONCATENATE("R",'Mapa final'!$A$97),"")</f>
        <v/>
      </c>
      <c r="W98" s="266"/>
      <c r="X98" s="266" t="str">
        <f>IF(AND('Mapa final'!$K$100="Muy Baja",'Mapa final'!$O$100="Menor"),CONCATENATE("R",'Mapa final'!$A$100),"")</f>
        <v/>
      </c>
      <c r="Y98" s="266"/>
      <c r="Z98" s="266" t="str">
        <f>IF(AND('Mapa final'!$K$103="Muy Baja",'Mapa final'!$O$103="Menor"),CONCATENATE("R",'Mapa final'!$A$103),"")</f>
        <v/>
      </c>
      <c r="AA98" s="266"/>
      <c r="AB98" s="266" t="str">
        <f>IF(AND('Mapa final'!$K$106="Muy Baja",'Mapa final'!$O$106="Menor"),CONCATENATE("R",'Mapa final'!$A$106),"")</f>
        <v/>
      </c>
      <c r="AC98" s="266"/>
      <c r="AD98" s="272" t="str">
        <f>IF(AND('Mapa final'!$K$94="Muy Baja",'Mapa final'!$O$94="Moderado"),CONCATENATE("R",'Mapa final'!$A$94),"")</f>
        <v/>
      </c>
      <c r="AE98" s="270"/>
      <c r="AF98" s="270" t="str">
        <f>IF(AND('Mapa final'!$K$97="Muy Baja",'Mapa final'!$O$97="Moderado"),CONCATENATE("R",'Mapa final'!$A$97),"")</f>
        <v/>
      </c>
      <c r="AG98" s="270"/>
      <c r="AH98" s="270" t="str">
        <f>IF(AND('Mapa final'!$K$100="Muy Baja",'Mapa final'!$O$100="Moderado"),CONCATENATE("R",'Mapa final'!$A$100),"")</f>
        <v/>
      </c>
      <c r="AI98" s="270"/>
      <c r="AJ98" s="270" t="str">
        <f>IF(AND('Mapa final'!$K$103="Muy Baja",'Mapa final'!$O$103="Moderado"),CONCATENATE("R",'Mapa final'!$A$103),"")</f>
        <v/>
      </c>
      <c r="AK98" s="270"/>
      <c r="AL98" s="270" t="str">
        <f>IF(AND('Mapa final'!$K$106="Muy Baja",'Mapa final'!$O$106="Moderado"),CONCATENATE("R",'Mapa final'!$A$106),"")</f>
        <v/>
      </c>
      <c r="AM98" s="271"/>
      <c r="AN98" s="276" t="str">
        <f>IF(AND('Mapa final'!$K$94="Muy Baja",'Mapa final'!$O$94="Mayor"),CONCATENATE("R",'Mapa final'!$A$94),"")</f>
        <v/>
      </c>
      <c r="AO98" s="273"/>
      <c r="AP98" s="273" t="str">
        <f>IF(AND('Mapa final'!$K$97="Muy Baja",'Mapa final'!$O$97="Mayor"),CONCATENATE("R",'Mapa final'!$A$97),"")</f>
        <v/>
      </c>
      <c r="AQ98" s="273"/>
      <c r="AR98" s="273" t="str">
        <f>IF(AND('Mapa final'!$K$100="Muy Baja",'Mapa final'!$O$100="Mayor"),CONCATENATE("R",'Mapa final'!$A$100),"")</f>
        <v/>
      </c>
      <c r="AS98" s="273"/>
      <c r="AT98" s="273" t="str">
        <f>IF(AND('Mapa final'!$K$103="Muy Baja",'Mapa final'!$O$103="Mayor"),CONCATENATE("R",'Mapa final'!$A$103),"")</f>
        <v/>
      </c>
      <c r="AU98" s="273"/>
      <c r="AV98" s="273" t="str">
        <f>IF(AND('Mapa final'!$K$106="Muy Baja",'Mapa final'!$O$106="Mayor"),CONCATENATE("R",'Mapa final'!$A$106),"")</f>
        <v/>
      </c>
      <c r="AW98" s="274"/>
      <c r="AX98" s="269" t="str">
        <f>IF(AND('Mapa final'!$K$94="Muy Baja",'Mapa final'!$O$94="Catastrófico"),CONCATENATE("R",'Mapa final'!$A$94),"")</f>
        <v/>
      </c>
      <c r="AY98" s="267"/>
      <c r="AZ98" s="267" t="str">
        <f>IF(AND('Mapa final'!$K$97="Muy Baja",'Mapa final'!$O$97="Catastrófico"),CONCATENATE("R",'Mapa final'!$A$97),"")</f>
        <v/>
      </c>
      <c r="BA98" s="267"/>
      <c r="BB98" s="267" t="str">
        <f>IF(AND('Mapa final'!$K$100="Muy Baja",'Mapa final'!$O$100="Catastrófico"),CONCATENATE("R",'Mapa final'!$A$100),"")</f>
        <v/>
      </c>
      <c r="BC98" s="267"/>
      <c r="BD98" s="267" t="str">
        <f>IF(AND('Mapa final'!$K$103="Muy Baja",'Mapa final'!$O$103="Catastrófico"),CONCATENATE("R",'Mapa final'!$A$103),"")</f>
        <v/>
      </c>
      <c r="BE98" s="267"/>
      <c r="BF98" s="267" t="str">
        <f>IF(AND('Mapa final'!$K$106="Muy Baja",'Mapa final'!$O$106="Catastrófico"),CONCATENATE("R",'Mapa final'!$A$106),"")</f>
        <v/>
      </c>
      <c r="BG98" s="268"/>
      <c r="BH98" s="58"/>
      <c r="BI98" s="58"/>
      <c r="BJ98" s="58"/>
      <c r="BK98" s="58"/>
      <c r="BL98" s="58"/>
      <c r="BM98" s="58"/>
      <c r="BN98" s="58"/>
      <c r="BO98" s="58"/>
      <c r="BP98" s="58"/>
      <c r="BQ98" s="58"/>
      <c r="BR98" s="58"/>
      <c r="BS98" s="58"/>
      <c r="BT98" s="58"/>
      <c r="BU98" s="58"/>
      <c r="BV98" s="58"/>
      <c r="BW98" s="58"/>
      <c r="BX98" s="58"/>
      <c r="BY98" s="58"/>
      <c r="BZ98" s="58"/>
      <c r="CA98" s="58"/>
      <c r="CB98" s="58"/>
      <c r="CC98" s="58"/>
      <c r="CD98" s="58"/>
      <c r="CE98" s="58"/>
      <c r="CF98" s="58"/>
      <c r="CG98" s="58"/>
      <c r="CH98" s="58"/>
      <c r="CI98" s="58"/>
      <c r="CJ98" s="58"/>
      <c r="CK98" s="58"/>
      <c r="CL98" s="58"/>
      <c r="CM98" s="58"/>
      <c r="CN98" s="58"/>
      <c r="CO98" s="58"/>
      <c r="CP98" s="58"/>
      <c r="CQ98" s="58"/>
      <c r="CR98" s="58"/>
      <c r="CS98" s="58"/>
      <c r="CT98" s="58"/>
      <c r="CU98" s="58"/>
      <c r="CV98" s="58"/>
    </row>
    <row r="99" spans="1:100" ht="15" customHeight="1" x14ac:dyDescent="0.25">
      <c r="A99" s="58"/>
      <c r="B99" s="356"/>
      <c r="C99" s="356"/>
      <c r="D99" s="357"/>
      <c r="E99" s="331"/>
      <c r="F99" s="332"/>
      <c r="G99" s="332"/>
      <c r="H99" s="332"/>
      <c r="I99" s="337"/>
      <c r="J99" s="265"/>
      <c r="K99" s="266"/>
      <c r="L99" s="266"/>
      <c r="M99" s="266"/>
      <c r="N99" s="266"/>
      <c r="O99" s="266"/>
      <c r="P99" s="266"/>
      <c r="Q99" s="266"/>
      <c r="R99" s="266"/>
      <c r="S99" s="266"/>
      <c r="T99" s="265"/>
      <c r="U99" s="266"/>
      <c r="V99" s="266"/>
      <c r="W99" s="266"/>
      <c r="X99" s="266"/>
      <c r="Y99" s="266"/>
      <c r="Z99" s="266"/>
      <c r="AA99" s="266"/>
      <c r="AB99" s="266"/>
      <c r="AC99" s="266"/>
      <c r="AD99" s="272"/>
      <c r="AE99" s="270"/>
      <c r="AF99" s="270"/>
      <c r="AG99" s="270"/>
      <c r="AH99" s="270"/>
      <c r="AI99" s="270"/>
      <c r="AJ99" s="270"/>
      <c r="AK99" s="270"/>
      <c r="AL99" s="270"/>
      <c r="AM99" s="271"/>
      <c r="AN99" s="276"/>
      <c r="AO99" s="273"/>
      <c r="AP99" s="273"/>
      <c r="AQ99" s="273"/>
      <c r="AR99" s="273"/>
      <c r="AS99" s="273"/>
      <c r="AT99" s="273"/>
      <c r="AU99" s="273"/>
      <c r="AV99" s="273"/>
      <c r="AW99" s="274"/>
      <c r="AX99" s="269"/>
      <c r="AY99" s="267"/>
      <c r="AZ99" s="267"/>
      <c r="BA99" s="267"/>
      <c r="BB99" s="267"/>
      <c r="BC99" s="267"/>
      <c r="BD99" s="267"/>
      <c r="BE99" s="267"/>
      <c r="BF99" s="267"/>
      <c r="BG99" s="268"/>
      <c r="BH99" s="58"/>
      <c r="BI99" s="58"/>
      <c r="BJ99" s="58"/>
      <c r="BK99" s="58"/>
      <c r="BL99" s="58"/>
      <c r="BM99" s="58"/>
      <c r="BN99" s="58"/>
      <c r="BO99" s="58"/>
      <c r="BP99" s="58"/>
      <c r="BQ99" s="58"/>
      <c r="BR99" s="58"/>
      <c r="BS99" s="58"/>
      <c r="BT99" s="58"/>
      <c r="BU99" s="58"/>
      <c r="BV99" s="58"/>
      <c r="BW99" s="58"/>
      <c r="BX99" s="58"/>
      <c r="BY99" s="58"/>
      <c r="BZ99" s="58"/>
      <c r="CA99" s="58"/>
      <c r="CB99" s="58"/>
      <c r="CC99" s="58"/>
      <c r="CD99" s="58"/>
      <c r="CE99" s="58"/>
      <c r="CF99" s="58"/>
      <c r="CG99" s="58"/>
      <c r="CH99" s="58"/>
      <c r="CI99" s="58"/>
      <c r="CJ99" s="58"/>
      <c r="CK99" s="58"/>
      <c r="CL99" s="58"/>
      <c r="CM99" s="58"/>
      <c r="CN99" s="58"/>
      <c r="CO99" s="58"/>
      <c r="CP99" s="58"/>
      <c r="CQ99" s="58"/>
      <c r="CR99" s="58"/>
      <c r="CS99" s="58"/>
      <c r="CT99" s="58"/>
      <c r="CU99" s="58"/>
      <c r="CV99" s="58"/>
    </row>
    <row r="100" spans="1:100" ht="15" customHeight="1" x14ac:dyDescent="0.25">
      <c r="A100" s="58"/>
      <c r="B100" s="356"/>
      <c r="C100" s="356"/>
      <c r="D100" s="357"/>
      <c r="E100" s="331"/>
      <c r="F100" s="332"/>
      <c r="G100" s="332"/>
      <c r="H100" s="332"/>
      <c r="I100" s="337"/>
      <c r="J100" s="265" t="str">
        <f>IF(AND('Mapa final'!$K$109="Muy Baja",'Mapa final'!$O$109="Leve"),CONCATENATE("R",'Mapa final'!$A$109),"")</f>
        <v/>
      </c>
      <c r="K100" s="266"/>
      <c r="L100" s="266" t="str">
        <f>IF(AND('Mapa final'!$K$112="Muy Baja",'Mapa final'!$O$112="Leve"),CONCATENATE("R",'Mapa final'!$A$112),"")</f>
        <v/>
      </c>
      <c r="M100" s="266"/>
      <c r="N100" s="266" t="str">
        <f>IF(AND('Mapa final'!$K$115="Muy Baja",'Mapa final'!$O$115="Leve"),CONCATENATE("R",'Mapa final'!$A$115),"")</f>
        <v/>
      </c>
      <c r="O100" s="266"/>
      <c r="P100" s="266" t="str">
        <f>IF(AND('Mapa final'!$K$118="Muy Baja",'Mapa final'!$O$118="Leve"),CONCATENATE("R",'Mapa final'!$A$118),"")</f>
        <v/>
      </c>
      <c r="Q100" s="266"/>
      <c r="R100" s="266" t="str">
        <f>IF(AND('Mapa final'!$K$121="Muy Baja",'Mapa final'!$O$121="Leve"),CONCATENATE("R",'Mapa final'!$A$121),"")</f>
        <v/>
      </c>
      <c r="S100" s="266"/>
      <c r="T100" s="265" t="str">
        <f>IF(AND('Mapa final'!$K$109="Muy Baja",'Mapa final'!$O$109="Menor"),CONCATENATE("R",'Mapa final'!$A$109),"")</f>
        <v/>
      </c>
      <c r="U100" s="266"/>
      <c r="V100" s="266" t="str">
        <f>IF(AND('Mapa final'!$K$112="Muy Baja",'Mapa final'!$O$112="Menor"),CONCATENATE("R",'Mapa final'!$A$112),"")</f>
        <v/>
      </c>
      <c r="W100" s="266"/>
      <c r="X100" s="266" t="str">
        <f>IF(AND('Mapa final'!$K$115="Muy Baja",'Mapa final'!$O$115="Menor"),CONCATENATE("R",'Mapa final'!$A$115),"")</f>
        <v/>
      </c>
      <c r="Y100" s="266"/>
      <c r="Z100" s="266" t="str">
        <f>IF(AND('Mapa final'!$K$118="Muy Baja",'Mapa final'!$O$118="Menor"),CONCATENATE("R",'Mapa final'!$A$118),"")</f>
        <v/>
      </c>
      <c r="AA100" s="266"/>
      <c r="AB100" s="266" t="str">
        <f>IF(AND('Mapa final'!$K$121="Muy Baja",'Mapa final'!$O$121="Menor"),CONCATENATE("R",'Mapa final'!$A$121),"")</f>
        <v/>
      </c>
      <c r="AC100" s="266"/>
      <c r="AD100" s="272" t="str">
        <f>IF(AND('Mapa final'!$K$109="Muy Baja",'Mapa final'!$O$109="Moderado"),CONCATENATE("R",'Mapa final'!$A$109),"")</f>
        <v/>
      </c>
      <c r="AE100" s="270"/>
      <c r="AF100" s="270" t="str">
        <f>IF(AND('Mapa final'!$K$112="Muy Baja",'Mapa final'!$O$112="Moderado"),CONCATENATE("R",'Mapa final'!$A$112),"")</f>
        <v/>
      </c>
      <c r="AG100" s="270"/>
      <c r="AH100" s="270" t="str">
        <f>IF(AND('Mapa final'!$K$115="Muy Baja",'Mapa final'!$O$115="Moderado"),CONCATENATE("R",'Mapa final'!$A$115),"")</f>
        <v/>
      </c>
      <c r="AI100" s="270"/>
      <c r="AJ100" s="270" t="str">
        <f>IF(AND('Mapa final'!$K$118="Muy Baja",'Mapa final'!$O$118="Moderado"),CONCATENATE("R",'Mapa final'!$A$118),"")</f>
        <v/>
      </c>
      <c r="AK100" s="270"/>
      <c r="AL100" s="270" t="str">
        <f>IF(AND('Mapa final'!$K$121="Muy Baja",'Mapa final'!$O$121="Moderado"),CONCATENATE("R",'Mapa final'!$A$121),"")</f>
        <v/>
      </c>
      <c r="AM100" s="271"/>
      <c r="AN100" s="276" t="str">
        <f>IF(AND('Mapa final'!$K$109="Muy Baja",'Mapa final'!$O$109="Mayor"),CONCATENATE("R",'Mapa final'!$A$109),"")</f>
        <v/>
      </c>
      <c r="AO100" s="273"/>
      <c r="AP100" s="273" t="str">
        <f>IF(AND('Mapa final'!$K$112="Muy Baja",'Mapa final'!$O$112="Mayor"),CONCATENATE("R",'Mapa final'!$A$112),"")</f>
        <v/>
      </c>
      <c r="AQ100" s="273"/>
      <c r="AR100" s="273" t="str">
        <f>IF(AND('Mapa final'!$K$115="Muy Baja",'Mapa final'!$O$115="Mayor"),CONCATENATE("R",'Mapa final'!$A$115),"")</f>
        <v/>
      </c>
      <c r="AS100" s="273"/>
      <c r="AT100" s="273" t="str">
        <f>IF(AND('Mapa final'!$K$118="Muy Baja",'Mapa final'!$O$118="Mayor"),CONCATENATE("R",'Mapa final'!$A$118),"")</f>
        <v/>
      </c>
      <c r="AU100" s="273"/>
      <c r="AV100" s="273" t="str">
        <f>IF(AND('Mapa final'!$K$121="Muy Baja",'Mapa final'!$O$121="Mayor"),CONCATENATE("R",'Mapa final'!$A$121),"")</f>
        <v/>
      </c>
      <c r="AW100" s="274"/>
      <c r="AX100" s="269" t="str">
        <f>IF(AND('Mapa final'!$K$109="Muy Baja",'Mapa final'!$O$109="Catastrófico"),CONCATENATE("R",'Mapa final'!$A$109),"")</f>
        <v/>
      </c>
      <c r="AY100" s="267"/>
      <c r="AZ100" s="267" t="str">
        <f>IF(AND('Mapa final'!$K$112="Muy Baja",'Mapa final'!$O$112="Catastrófico"),CONCATENATE("R",'Mapa final'!$A$112),"")</f>
        <v/>
      </c>
      <c r="BA100" s="267"/>
      <c r="BB100" s="267" t="str">
        <f>IF(AND('Mapa final'!$K$115="Muy Baja",'Mapa final'!$O$115="Catastrófico"),CONCATENATE("R",'Mapa final'!$A$115),"")</f>
        <v/>
      </c>
      <c r="BC100" s="267"/>
      <c r="BD100" s="267" t="str">
        <f>IF(AND('Mapa final'!$K$118="Muy Baja",'Mapa final'!$O$118="Catastrófico"),CONCATENATE("R",'Mapa final'!$A$118),"")</f>
        <v/>
      </c>
      <c r="BE100" s="267"/>
      <c r="BF100" s="267" t="str">
        <f>IF(AND('Mapa final'!$K$121="Muy Baja",'Mapa final'!$O$121="Catastrófico"),CONCATENATE("R",'Mapa final'!$A$121),"")</f>
        <v/>
      </c>
      <c r="BG100" s="268"/>
      <c r="BH100" s="58"/>
      <c r="BI100" s="58"/>
      <c r="BJ100" s="58"/>
      <c r="BK100" s="58"/>
      <c r="BL100" s="58"/>
      <c r="BM100" s="58"/>
      <c r="BN100" s="58"/>
      <c r="BO100" s="58"/>
      <c r="BP100" s="58"/>
      <c r="BQ100" s="58"/>
      <c r="BR100" s="58"/>
      <c r="BS100" s="58"/>
      <c r="BT100" s="58"/>
      <c r="BU100" s="58"/>
      <c r="BV100" s="58"/>
      <c r="BW100" s="58"/>
      <c r="BX100" s="58"/>
      <c r="BY100" s="58"/>
      <c r="BZ100" s="58"/>
      <c r="CA100" s="58"/>
      <c r="CB100" s="58"/>
      <c r="CC100" s="58"/>
      <c r="CD100" s="58"/>
      <c r="CE100" s="58"/>
      <c r="CF100" s="58"/>
      <c r="CG100" s="58"/>
      <c r="CH100" s="58"/>
      <c r="CI100" s="58"/>
      <c r="CJ100" s="58"/>
      <c r="CK100" s="58"/>
      <c r="CL100" s="58"/>
      <c r="CM100" s="58"/>
      <c r="CN100" s="58"/>
      <c r="CO100" s="58"/>
      <c r="CP100" s="58"/>
      <c r="CQ100" s="58"/>
      <c r="CR100" s="58"/>
      <c r="CS100" s="58"/>
      <c r="CT100" s="58"/>
      <c r="CU100" s="58"/>
      <c r="CV100" s="58"/>
    </row>
    <row r="101" spans="1:100" ht="15" customHeight="1" x14ac:dyDescent="0.25">
      <c r="A101" s="58"/>
      <c r="B101" s="356"/>
      <c r="C101" s="356"/>
      <c r="D101" s="357"/>
      <c r="E101" s="331"/>
      <c r="F101" s="332"/>
      <c r="G101" s="332"/>
      <c r="H101" s="332"/>
      <c r="I101" s="337"/>
      <c r="J101" s="265"/>
      <c r="K101" s="266"/>
      <c r="L101" s="266"/>
      <c r="M101" s="266"/>
      <c r="N101" s="266"/>
      <c r="O101" s="266"/>
      <c r="P101" s="266"/>
      <c r="Q101" s="266"/>
      <c r="R101" s="266"/>
      <c r="S101" s="266"/>
      <c r="T101" s="265"/>
      <c r="U101" s="266"/>
      <c r="V101" s="266"/>
      <c r="W101" s="266"/>
      <c r="X101" s="266"/>
      <c r="Y101" s="266"/>
      <c r="Z101" s="266"/>
      <c r="AA101" s="266"/>
      <c r="AB101" s="266"/>
      <c r="AC101" s="266"/>
      <c r="AD101" s="272"/>
      <c r="AE101" s="270"/>
      <c r="AF101" s="270"/>
      <c r="AG101" s="270"/>
      <c r="AH101" s="270"/>
      <c r="AI101" s="270"/>
      <c r="AJ101" s="270"/>
      <c r="AK101" s="270"/>
      <c r="AL101" s="270"/>
      <c r="AM101" s="271"/>
      <c r="AN101" s="276"/>
      <c r="AO101" s="273"/>
      <c r="AP101" s="273"/>
      <c r="AQ101" s="273"/>
      <c r="AR101" s="273"/>
      <c r="AS101" s="273"/>
      <c r="AT101" s="273"/>
      <c r="AU101" s="273"/>
      <c r="AV101" s="273"/>
      <c r="AW101" s="274"/>
      <c r="AX101" s="269"/>
      <c r="AY101" s="267"/>
      <c r="AZ101" s="267"/>
      <c r="BA101" s="267"/>
      <c r="BB101" s="267"/>
      <c r="BC101" s="267"/>
      <c r="BD101" s="267"/>
      <c r="BE101" s="267"/>
      <c r="BF101" s="267"/>
      <c r="BG101" s="268"/>
      <c r="BH101" s="58"/>
      <c r="BI101" s="58"/>
      <c r="BJ101" s="58"/>
      <c r="BK101" s="58"/>
      <c r="BL101" s="58"/>
      <c r="BM101" s="58"/>
      <c r="BN101" s="58"/>
      <c r="BO101" s="58"/>
      <c r="BP101" s="58"/>
      <c r="BQ101" s="58"/>
      <c r="BR101" s="58"/>
      <c r="BS101" s="58"/>
      <c r="BT101" s="58"/>
      <c r="BU101" s="58"/>
      <c r="BV101" s="58"/>
      <c r="BW101" s="58"/>
      <c r="BX101" s="58"/>
      <c r="BY101" s="58"/>
      <c r="BZ101" s="58"/>
      <c r="CA101" s="58"/>
      <c r="CB101" s="58"/>
      <c r="CC101" s="58"/>
      <c r="CD101" s="58"/>
      <c r="CE101" s="58"/>
      <c r="CF101" s="58"/>
      <c r="CG101" s="58"/>
      <c r="CH101" s="58"/>
      <c r="CI101" s="58"/>
      <c r="CJ101" s="58"/>
      <c r="CK101" s="58"/>
      <c r="CL101" s="58"/>
      <c r="CM101" s="58"/>
      <c r="CN101" s="58"/>
      <c r="CO101" s="58"/>
      <c r="CP101" s="58"/>
      <c r="CQ101" s="58"/>
      <c r="CR101" s="58"/>
      <c r="CS101" s="58"/>
      <c r="CT101" s="58"/>
      <c r="CU101" s="58"/>
      <c r="CV101" s="58"/>
    </row>
    <row r="102" spans="1:100" ht="15" customHeight="1" x14ac:dyDescent="0.25">
      <c r="A102" s="58"/>
      <c r="B102" s="356"/>
      <c r="C102" s="356"/>
      <c r="D102" s="357"/>
      <c r="E102" s="331"/>
      <c r="F102" s="332"/>
      <c r="G102" s="332"/>
      <c r="H102" s="332"/>
      <c r="I102" s="337"/>
      <c r="J102" s="265" t="str">
        <f>IF(AND('Mapa final'!$K$124="Muy Baja",'Mapa final'!$O$124="Leve"),CONCATENATE("R",'Mapa final'!$A$124),"")</f>
        <v/>
      </c>
      <c r="K102" s="266"/>
      <c r="L102" s="266" t="str">
        <f>IF(AND('Mapa final'!$K$127="Muy Baja",'Mapa final'!$O$127="Leve"),CONCATENATE("R",'Mapa final'!$A$127),"")</f>
        <v/>
      </c>
      <c r="M102" s="266"/>
      <c r="N102" s="266" t="str">
        <f>IF(AND('Mapa final'!$K$130="Muy Baja",'Mapa final'!$O$130="Leve"),CONCATENATE("R",'Mapa final'!$A$130),"")</f>
        <v/>
      </c>
      <c r="O102" s="266"/>
      <c r="P102" s="266" t="str">
        <f>IF(AND('Mapa final'!$K$133="Muy Baja",'Mapa final'!$O$133="Leve"),CONCATENATE("R",'Mapa final'!$A$133),"")</f>
        <v/>
      </c>
      <c r="Q102" s="266"/>
      <c r="R102" s="266" t="str">
        <f>IF(AND('Mapa final'!$K$136="Muy Baja",'Mapa final'!$O$136="Leve"),CONCATENATE("R",'Mapa final'!$A$136),"")</f>
        <v/>
      </c>
      <c r="S102" s="266"/>
      <c r="T102" s="265" t="str">
        <f>IF(AND('Mapa final'!$K$124="Muy Baja",'Mapa final'!$O$124="Menor"),CONCATENATE("R",'Mapa final'!$A$124),"")</f>
        <v/>
      </c>
      <c r="U102" s="266"/>
      <c r="V102" s="266" t="str">
        <f>IF(AND('Mapa final'!$K$127="Muy Baja",'Mapa final'!$O$127="Menor"),CONCATENATE("R",'Mapa final'!$A$127),"")</f>
        <v/>
      </c>
      <c r="W102" s="266"/>
      <c r="X102" s="266" t="str">
        <f>IF(AND('Mapa final'!$K$130="Muy Baja",'Mapa final'!$O$130="Menor"),CONCATENATE("R",'Mapa final'!$A$130),"")</f>
        <v/>
      </c>
      <c r="Y102" s="266"/>
      <c r="Z102" s="266" t="str">
        <f>IF(AND('Mapa final'!$K$133="Muy Baja",'Mapa final'!$O$133="Menor"),CONCATENATE("R",'Mapa final'!$A$133),"")</f>
        <v/>
      </c>
      <c r="AA102" s="266"/>
      <c r="AB102" s="266" t="str">
        <f>IF(AND('Mapa final'!$K$136="Muy Baja",'Mapa final'!$O$136="Menor"),CONCATENATE("R",'Mapa final'!$A$136),"")</f>
        <v/>
      </c>
      <c r="AC102" s="266"/>
      <c r="AD102" s="272" t="str">
        <f>IF(AND('Mapa final'!$K$124="Muy Baja",'Mapa final'!$O$124="Moderado"),CONCATENATE("R",'Mapa final'!$A$124),"")</f>
        <v/>
      </c>
      <c r="AE102" s="270"/>
      <c r="AF102" s="270" t="str">
        <f>IF(AND('Mapa final'!$K$127="Muy Baja",'Mapa final'!$O$127="Moderado"),CONCATENATE("R",'Mapa final'!$A$127),"")</f>
        <v/>
      </c>
      <c r="AG102" s="270"/>
      <c r="AH102" s="270" t="str">
        <f>IF(AND('Mapa final'!$K$130="Muy Baja",'Mapa final'!$O$130="Moderado"),CONCATENATE("R",'Mapa final'!$A$130),"")</f>
        <v/>
      </c>
      <c r="AI102" s="270"/>
      <c r="AJ102" s="270" t="str">
        <f>IF(AND('Mapa final'!$K$133="Muy Baja",'Mapa final'!$O$133="Moderado"),CONCATENATE("R",'Mapa final'!$A$133),"")</f>
        <v/>
      </c>
      <c r="AK102" s="270"/>
      <c r="AL102" s="270" t="str">
        <f>IF(AND('Mapa final'!$K$136="Muy Baja",'Mapa final'!$O$136="Moderado"),CONCATENATE("R",'Mapa final'!$A$136),"")</f>
        <v/>
      </c>
      <c r="AM102" s="271"/>
      <c r="AN102" s="276" t="str">
        <f>IF(AND('Mapa final'!$K$124="Muy Baja",'Mapa final'!$O$124="Mayor"),CONCATENATE("R",'Mapa final'!$A$124),"")</f>
        <v/>
      </c>
      <c r="AO102" s="273"/>
      <c r="AP102" s="273" t="str">
        <f>IF(AND('Mapa final'!$K$127="Muy Baja",'Mapa final'!$O$127="Mayor"),CONCATENATE("R",'Mapa final'!$A$127),"")</f>
        <v/>
      </c>
      <c r="AQ102" s="273"/>
      <c r="AR102" s="273" t="str">
        <f>IF(AND('Mapa final'!$K$130="Muy Baja",'Mapa final'!$O$130="Mayor"),CONCATENATE("R",'Mapa final'!$A$130),"")</f>
        <v/>
      </c>
      <c r="AS102" s="273"/>
      <c r="AT102" s="273" t="str">
        <f>IF(AND('Mapa final'!$K$133="Muy Baja",'Mapa final'!$O$133="Mayor"),CONCATENATE("R",'Mapa final'!$A$133),"")</f>
        <v/>
      </c>
      <c r="AU102" s="273"/>
      <c r="AV102" s="273" t="str">
        <f>IF(AND('Mapa final'!$K$136="Muy Baja",'Mapa final'!$O$136="Mayor"),CONCATENATE("R",'Mapa final'!$A$136),"")</f>
        <v/>
      </c>
      <c r="AW102" s="274"/>
      <c r="AX102" s="269" t="str">
        <f>IF(AND('Mapa final'!$K$124="Muy Baja",'Mapa final'!$O$124="Catastrófico"),CONCATENATE("R",'Mapa final'!$A$124),"")</f>
        <v/>
      </c>
      <c r="AY102" s="267"/>
      <c r="AZ102" s="267" t="str">
        <f>IF(AND('Mapa final'!$K$127="Muy Baja",'Mapa final'!$O$127="Catastrófico"),CONCATENATE("R",'Mapa final'!$A$127),"")</f>
        <v/>
      </c>
      <c r="BA102" s="267"/>
      <c r="BB102" s="267" t="str">
        <f>IF(AND('Mapa final'!$K$130="Muy Baja",'Mapa final'!$O$130="Catastrófico"),CONCATENATE("R",'Mapa final'!$A$130),"")</f>
        <v/>
      </c>
      <c r="BC102" s="267"/>
      <c r="BD102" s="267" t="str">
        <f>IF(AND('Mapa final'!$K$133="Muy Baja",'Mapa final'!$O$133="Catastrófico"),CONCATENATE("R",'Mapa final'!$A$133),"")</f>
        <v/>
      </c>
      <c r="BE102" s="267"/>
      <c r="BF102" s="267" t="str">
        <f>IF(AND('Mapa final'!$K$136="Muy Baja",'Mapa final'!$O$136="Catastrófico"),CONCATENATE("R",'Mapa final'!$A$136),"")</f>
        <v/>
      </c>
      <c r="BG102" s="268"/>
      <c r="BH102" s="58"/>
      <c r="BI102" s="58"/>
      <c r="BJ102" s="58"/>
      <c r="BK102" s="58"/>
      <c r="BL102" s="58"/>
      <c r="BM102" s="58"/>
      <c r="BN102" s="58"/>
      <c r="BO102" s="58"/>
      <c r="BP102" s="58"/>
      <c r="BQ102" s="58"/>
      <c r="BR102" s="58"/>
      <c r="BS102" s="58"/>
      <c r="BT102" s="58"/>
      <c r="BU102" s="58"/>
      <c r="BV102" s="58"/>
      <c r="BW102" s="58"/>
      <c r="BX102" s="58"/>
      <c r="BY102" s="58"/>
      <c r="BZ102" s="58"/>
      <c r="CA102" s="58"/>
      <c r="CB102" s="58"/>
      <c r="CC102" s="58"/>
      <c r="CD102" s="58"/>
      <c r="CE102" s="58"/>
      <c r="CF102" s="58"/>
      <c r="CG102" s="58"/>
      <c r="CH102" s="58"/>
      <c r="CI102" s="58"/>
      <c r="CJ102" s="58"/>
      <c r="CK102" s="58"/>
      <c r="CL102" s="58"/>
      <c r="CM102" s="58"/>
      <c r="CN102" s="58"/>
      <c r="CO102" s="58"/>
      <c r="CP102" s="58"/>
      <c r="CQ102" s="58"/>
      <c r="CR102" s="58"/>
      <c r="CS102" s="58"/>
      <c r="CT102" s="58"/>
      <c r="CU102" s="58"/>
      <c r="CV102" s="58"/>
    </row>
    <row r="103" spans="1:100" ht="15" customHeight="1" x14ac:dyDescent="0.25">
      <c r="A103" s="58"/>
      <c r="B103" s="356"/>
      <c r="C103" s="356"/>
      <c r="D103" s="357"/>
      <c r="E103" s="331"/>
      <c r="F103" s="332"/>
      <c r="G103" s="332"/>
      <c r="H103" s="332"/>
      <c r="I103" s="337"/>
      <c r="J103" s="265"/>
      <c r="K103" s="266"/>
      <c r="L103" s="266"/>
      <c r="M103" s="266"/>
      <c r="N103" s="266"/>
      <c r="O103" s="266"/>
      <c r="P103" s="266"/>
      <c r="Q103" s="266"/>
      <c r="R103" s="266"/>
      <c r="S103" s="266"/>
      <c r="T103" s="265"/>
      <c r="U103" s="266"/>
      <c r="V103" s="266"/>
      <c r="W103" s="266"/>
      <c r="X103" s="266"/>
      <c r="Y103" s="266"/>
      <c r="Z103" s="266"/>
      <c r="AA103" s="266"/>
      <c r="AB103" s="266"/>
      <c r="AC103" s="266"/>
      <c r="AD103" s="272"/>
      <c r="AE103" s="270"/>
      <c r="AF103" s="270"/>
      <c r="AG103" s="270"/>
      <c r="AH103" s="270"/>
      <c r="AI103" s="270"/>
      <c r="AJ103" s="270"/>
      <c r="AK103" s="270"/>
      <c r="AL103" s="270"/>
      <c r="AM103" s="271"/>
      <c r="AN103" s="276"/>
      <c r="AO103" s="273"/>
      <c r="AP103" s="273"/>
      <c r="AQ103" s="273"/>
      <c r="AR103" s="273"/>
      <c r="AS103" s="273"/>
      <c r="AT103" s="273"/>
      <c r="AU103" s="273"/>
      <c r="AV103" s="273"/>
      <c r="AW103" s="274"/>
      <c r="AX103" s="269"/>
      <c r="AY103" s="267"/>
      <c r="AZ103" s="267"/>
      <c r="BA103" s="267"/>
      <c r="BB103" s="267"/>
      <c r="BC103" s="267"/>
      <c r="BD103" s="267"/>
      <c r="BE103" s="267"/>
      <c r="BF103" s="267"/>
      <c r="BG103" s="268"/>
      <c r="BH103" s="58"/>
      <c r="BI103" s="58"/>
      <c r="BJ103" s="58"/>
      <c r="BK103" s="58"/>
      <c r="BL103" s="58"/>
      <c r="BM103" s="58"/>
      <c r="BN103" s="58"/>
      <c r="BO103" s="58"/>
      <c r="BP103" s="58"/>
      <c r="BQ103" s="58"/>
      <c r="BR103" s="58"/>
      <c r="BS103" s="58"/>
      <c r="BT103" s="58"/>
      <c r="BU103" s="58"/>
      <c r="BV103" s="58"/>
      <c r="BW103" s="58"/>
      <c r="BX103" s="58"/>
      <c r="BY103" s="58"/>
      <c r="BZ103" s="58"/>
      <c r="CA103" s="58"/>
      <c r="CB103" s="58"/>
      <c r="CC103" s="58"/>
      <c r="CD103" s="58"/>
      <c r="CE103" s="58"/>
      <c r="CF103" s="58"/>
      <c r="CG103" s="58"/>
      <c r="CH103" s="58"/>
      <c r="CI103" s="58"/>
      <c r="CJ103" s="58"/>
      <c r="CK103" s="58"/>
      <c r="CL103" s="58"/>
      <c r="CM103" s="58"/>
      <c r="CN103" s="58"/>
      <c r="CO103" s="58"/>
      <c r="CP103" s="58"/>
      <c r="CQ103" s="58"/>
      <c r="CR103" s="58"/>
      <c r="CS103" s="58"/>
      <c r="CT103" s="58"/>
      <c r="CU103" s="58"/>
      <c r="CV103" s="58"/>
    </row>
    <row r="104" spans="1:100" ht="15" customHeight="1" x14ac:dyDescent="0.25">
      <c r="A104" s="58"/>
      <c r="B104" s="356"/>
      <c r="C104" s="356"/>
      <c r="D104" s="357"/>
      <c r="E104" s="331"/>
      <c r="F104" s="332"/>
      <c r="G104" s="332"/>
      <c r="H104" s="332"/>
      <c r="I104" s="337"/>
      <c r="J104" s="265" t="str">
        <f>IF(AND('Mapa final'!$K$139="Muy Baja",'Mapa final'!$O$139="Leve"),CONCATENATE("R",'Mapa final'!$A$139),"")</f>
        <v/>
      </c>
      <c r="K104" s="266"/>
      <c r="L104" s="266" t="str">
        <f>IF(AND('Mapa final'!$K$142="Muy Baja",'Mapa final'!$O$142="Leve"),CONCATENATE("R",'Mapa final'!$A$142),"")</f>
        <v/>
      </c>
      <c r="M104" s="266"/>
      <c r="N104" s="266" t="str">
        <f>IF(AND('Mapa final'!$K$145="Muy Baja",'Mapa final'!$O$145="Leve"),CONCATENATE("R",'Mapa final'!$A$145),"")</f>
        <v/>
      </c>
      <c r="O104" s="266"/>
      <c r="P104" s="266" t="str">
        <f>IF(AND('Mapa final'!$K$148="Muy Baja",'Mapa final'!$O$148="Leve"),CONCATENATE("R",'Mapa final'!$A$148),"")</f>
        <v/>
      </c>
      <c r="Q104" s="266"/>
      <c r="R104" s="266" t="str">
        <f>IF(AND('Mapa final'!$K$151="Muy Baja",'Mapa final'!$O$151="Leve"),CONCATENATE("R",'Mapa final'!$A$151),"")</f>
        <v/>
      </c>
      <c r="S104" s="266"/>
      <c r="T104" s="265" t="str">
        <f>IF(AND('Mapa final'!$K$139="Muy Baja",'Mapa final'!$O$139="Menor"),CONCATENATE("R",'Mapa final'!$A$139),"")</f>
        <v/>
      </c>
      <c r="U104" s="266"/>
      <c r="V104" s="266" t="str">
        <f>IF(AND('Mapa final'!$K$142="Muy Baja",'Mapa final'!$O$142="Menor"),CONCATENATE("R",'Mapa final'!$A$142),"")</f>
        <v/>
      </c>
      <c r="W104" s="266"/>
      <c r="X104" s="266" t="str">
        <f>IF(AND('Mapa final'!$K$145="Muy Baja",'Mapa final'!$O$145="Menor"),CONCATENATE("R",'Mapa final'!$A$145),"")</f>
        <v/>
      </c>
      <c r="Y104" s="266"/>
      <c r="Z104" s="266" t="str">
        <f>IF(AND('Mapa final'!$K$148="Muy Baja",'Mapa final'!$O$148="Menor"),CONCATENATE("R",'Mapa final'!$A$148),"")</f>
        <v/>
      </c>
      <c r="AA104" s="266"/>
      <c r="AB104" s="266" t="str">
        <f>IF(AND('Mapa final'!$K$151="Muy Baja",'Mapa final'!$O$151="Menor"),CONCATENATE("R",'Mapa final'!$A$151),"")</f>
        <v/>
      </c>
      <c r="AC104" s="266"/>
      <c r="AD104" s="272" t="str">
        <f>IF(AND('Mapa final'!$K$139="Muy Baja",'Mapa final'!$O$139="Moderado"),CONCATENATE("R",'Mapa final'!$A$139),"")</f>
        <v/>
      </c>
      <c r="AE104" s="270"/>
      <c r="AF104" s="270" t="str">
        <f>IF(AND('Mapa final'!$K$142="Muy Baja",'Mapa final'!$O$142="Moderado"),CONCATENATE("R",'Mapa final'!$A$142),"")</f>
        <v/>
      </c>
      <c r="AG104" s="270"/>
      <c r="AH104" s="270" t="str">
        <f>IF(AND('Mapa final'!$K$145="Muy Baja",'Mapa final'!$O$145="Moderado"),CONCATENATE("R",'Mapa final'!$A$145),"")</f>
        <v/>
      </c>
      <c r="AI104" s="270"/>
      <c r="AJ104" s="270" t="str">
        <f>IF(AND('Mapa final'!$K$148="Muy Baja",'Mapa final'!$O$148="Moderado"),CONCATENATE("R",'Mapa final'!$A$148),"")</f>
        <v/>
      </c>
      <c r="AK104" s="270"/>
      <c r="AL104" s="270" t="str">
        <f>IF(AND('Mapa final'!$K$151="Muy Baja",'Mapa final'!$O$151="Moderado"),CONCATENATE("R",'Mapa final'!$A$151),"")</f>
        <v/>
      </c>
      <c r="AM104" s="271"/>
      <c r="AN104" s="276" t="str">
        <f>IF(AND('Mapa final'!$K$139="Muy Baja",'Mapa final'!$O$139="Mayor"),CONCATENATE("R",'Mapa final'!$A$139),"")</f>
        <v/>
      </c>
      <c r="AO104" s="273"/>
      <c r="AP104" s="273" t="str">
        <f>IF(AND('Mapa final'!$K$142="Muy Baja",'Mapa final'!$O$142="Mayor"),CONCATENATE("R",'Mapa final'!$A$142),"")</f>
        <v/>
      </c>
      <c r="AQ104" s="273"/>
      <c r="AR104" s="273" t="str">
        <f>IF(AND('Mapa final'!$K$145="Muy Baja",'Mapa final'!$O$145="Mayor"),CONCATENATE("R",'Mapa final'!$A$145),"")</f>
        <v/>
      </c>
      <c r="AS104" s="273"/>
      <c r="AT104" s="273" t="str">
        <f>IF(AND('Mapa final'!$K$148="Muy Baja",'Mapa final'!$O$148="Mayor"),CONCATENATE("R",'Mapa final'!$A$148),"")</f>
        <v/>
      </c>
      <c r="AU104" s="273"/>
      <c r="AV104" s="273" t="str">
        <f>IF(AND('Mapa final'!$K$151="Muy Baja",'Mapa final'!$O$151="Mayor"),CONCATENATE("R",'Mapa final'!$A$151),"")</f>
        <v/>
      </c>
      <c r="AW104" s="274"/>
      <c r="AX104" s="269" t="str">
        <f>IF(AND('Mapa final'!$K$139="Muy Baja",'Mapa final'!$O$139="Catastrófico"),CONCATENATE("R",'Mapa final'!$A$139),"")</f>
        <v/>
      </c>
      <c r="AY104" s="267"/>
      <c r="AZ104" s="267" t="str">
        <f>IF(AND('Mapa final'!$K$142="Muy Baja",'Mapa final'!$O$142="Catastrófico"),CONCATENATE("R",'Mapa final'!$A$142),"")</f>
        <v/>
      </c>
      <c r="BA104" s="267"/>
      <c r="BB104" s="267" t="str">
        <f>IF(AND('Mapa final'!$K$145="Muy Baja",'Mapa final'!$O$145="Catastrófico"),CONCATENATE("R",'Mapa final'!$A$145),"")</f>
        <v/>
      </c>
      <c r="BC104" s="267"/>
      <c r="BD104" s="267" t="str">
        <f>IF(AND('Mapa final'!$K$148="Muy Baja",'Mapa final'!$O$148="Catastrófico"),CONCATENATE("R",'Mapa final'!$A$148),"")</f>
        <v/>
      </c>
      <c r="BE104" s="267"/>
      <c r="BF104" s="267" t="str">
        <f>IF(AND('Mapa final'!$K$151="Muy Baja",'Mapa final'!$O$151="Catastrófico"),CONCATENATE("R",'Mapa final'!$A$151),"")</f>
        <v/>
      </c>
      <c r="BG104" s="268"/>
      <c r="BH104" s="58"/>
      <c r="BI104" s="58"/>
      <c r="BJ104" s="58"/>
      <c r="BK104" s="58"/>
      <c r="BL104" s="58"/>
      <c r="BM104" s="58"/>
      <c r="BN104" s="58"/>
      <c r="BO104" s="58"/>
      <c r="BP104" s="58"/>
      <c r="BQ104" s="58"/>
      <c r="BR104" s="58"/>
      <c r="BS104" s="58"/>
      <c r="BT104" s="58"/>
      <c r="BU104" s="58"/>
      <c r="BV104" s="58"/>
      <c r="BW104" s="58"/>
      <c r="BX104" s="58"/>
      <c r="BY104" s="58"/>
      <c r="BZ104" s="58"/>
      <c r="CA104" s="58"/>
      <c r="CB104" s="58"/>
      <c r="CC104" s="58"/>
      <c r="CD104" s="58"/>
      <c r="CE104" s="58"/>
      <c r="CF104" s="58"/>
      <c r="CG104" s="58"/>
      <c r="CH104" s="58"/>
      <c r="CI104" s="58"/>
      <c r="CJ104" s="58"/>
      <c r="CK104" s="58"/>
      <c r="CL104" s="58"/>
      <c r="CM104" s="58"/>
      <c r="CN104" s="58"/>
      <c r="CO104" s="58"/>
      <c r="CP104" s="58"/>
      <c r="CQ104" s="58"/>
      <c r="CR104" s="58"/>
      <c r="CS104" s="58"/>
      <c r="CT104" s="58"/>
      <c r="CU104" s="58"/>
      <c r="CV104" s="58"/>
    </row>
    <row r="105" spans="1:100" ht="15.75" customHeight="1" thickBot="1" x14ac:dyDescent="0.3">
      <c r="A105" s="58"/>
      <c r="B105" s="356"/>
      <c r="C105" s="356"/>
      <c r="D105" s="357"/>
      <c r="E105" s="334"/>
      <c r="F105" s="335"/>
      <c r="G105" s="335"/>
      <c r="H105" s="335"/>
      <c r="I105" s="338"/>
      <c r="J105" s="290"/>
      <c r="K105" s="291"/>
      <c r="L105" s="291"/>
      <c r="M105" s="291"/>
      <c r="N105" s="291"/>
      <c r="O105" s="291"/>
      <c r="P105" s="291"/>
      <c r="Q105" s="291"/>
      <c r="R105" s="291"/>
      <c r="S105" s="291"/>
      <c r="T105" s="290"/>
      <c r="U105" s="291"/>
      <c r="V105" s="291"/>
      <c r="W105" s="291"/>
      <c r="X105" s="291"/>
      <c r="Y105" s="291"/>
      <c r="Z105" s="291"/>
      <c r="AA105" s="291"/>
      <c r="AB105" s="291"/>
      <c r="AC105" s="291"/>
      <c r="AD105" s="280"/>
      <c r="AE105" s="281"/>
      <c r="AF105" s="281"/>
      <c r="AG105" s="281"/>
      <c r="AH105" s="281"/>
      <c r="AI105" s="281"/>
      <c r="AJ105" s="281"/>
      <c r="AK105" s="281"/>
      <c r="AL105" s="281"/>
      <c r="AM105" s="282"/>
      <c r="AN105" s="342"/>
      <c r="AO105" s="343"/>
      <c r="AP105" s="343"/>
      <c r="AQ105" s="343"/>
      <c r="AR105" s="343"/>
      <c r="AS105" s="343"/>
      <c r="AT105" s="343"/>
      <c r="AU105" s="343"/>
      <c r="AV105" s="343"/>
      <c r="AW105" s="344"/>
      <c r="AX105" s="348"/>
      <c r="AY105" s="349"/>
      <c r="AZ105" s="349"/>
      <c r="BA105" s="349"/>
      <c r="BB105" s="349"/>
      <c r="BC105" s="349"/>
      <c r="BD105" s="349"/>
      <c r="BE105" s="349"/>
      <c r="BF105" s="349"/>
      <c r="BG105" s="350"/>
      <c r="BH105" s="58"/>
      <c r="BI105" s="58"/>
      <c r="BJ105" s="58"/>
      <c r="BK105" s="58"/>
      <c r="BL105" s="58"/>
      <c r="BM105" s="58"/>
      <c r="BN105" s="58"/>
      <c r="BO105" s="58"/>
      <c r="BP105" s="58"/>
      <c r="BQ105" s="58"/>
      <c r="BR105" s="58"/>
      <c r="BS105" s="58"/>
      <c r="BT105" s="58"/>
      <c r="BU105" s="58"/>
      <c r="BV105" s="58"/>
      <c r="BW105" s="58"/>
      <c r="BX105" s="58"/>
      <c r="BY105" s="58"/>
      <c r="BZ105" s="58"/>
      <c r="CA105" s="58"/>
      <c r="CB105" s="58"/>
      <c r="CC105" s="58"/>
      <c r="CD105" s="58"/>
      <c r="CE105" s="58"/>
      <c r="CF105" s="58"/>
      <c r="CG105" s="58"/>
      <c r="CH105" s="58"/>
      <c r="CI105" s="58"/>
      <c r="CJ105" s="58"/>
      <c r="CK105" s="58"/>
      <c r="CL105" s="58"/>
      <c r="CM105" s="58"/>
      <c r="CN105" s="58"/>
      <c r="CO105" s="58"/>
      <c r="CP105" s="58"/>
      <c r="CQ105" s="58"/>
      <c r="CR105" s="58"/>
      <c r="CS105" s="58"/>
      <c r="CT105" s="58"/>
      <c r="CU105" s="58"/>
      <c r="CV105" s="58"/>
    </row>
    <row r="106" spans="1:100" x14ac:dyDescent="0.25">
      <c r="A106" s="58"/>
      <c r="B106" s="58"/>
      <c r="C106" s="58"/>
      <c r="D106" s="58"/>
      <c r="E106" s="58"/>
      <c r="F106" s="58"/>
      <c r="G106" s="58"/>
      <c r="H106" s="58"/>
      <c r="I106" s="58"/>
      <c r="J106" s="329" t="s">
        <v>106</v>
      </c>
      <c r="K106" s="330"/>
      <c r="L106" s="330"/>
      <c r="M106" s="330"/>
      <c r="N106" s="330"/>
      <c r="O106" s="330"/>
      <c r="P106" s="330"/>
      <c r="Q106" s="330"/>
      <c r="R106" s="330"/>
      <c r="S106" s="336"/>
      <c r="T106" s="339" t="s">
        <v>105</v>
      </c>
      <c r="U106" s="333"/>
      <c r="V106" s="333"/>
      <c r="W106" s="333"/>
      <c r="X106" s="333"/>
      <c r="Y106" s="333"/>
      <c r="Z106" s="333"/>
      <c r="AA106" s="333"/>
      <c r="AB106" s="333"/>
      <c r="AC106" s="337"/>
      <c r="AD106" s="339" t="s">
        <v>104</v>
      </c>
      <c r="AE106" s="333"/>
      <c r="AF106" s="333"/>
      <c r="AG106" s="333"/>
      <c r="AH106" s="333"/>
      <c r="AI106" s="333"/>
      <c r="AJ106" s="333"/>
      <c r="AK106" s="333"/>
      <c r="AL106" s="333"/>
      <c r="AM106" s="337"/>
      <c r="AN106" s="339" t="s">
        <v>103</v>
      </c>
      <c r="AO106" s="340"/>
      <c r="AP106" s="340"/>
      <c r="AQ106" s="340"/>
      <c r="AR106" s="340"/>
      <c r="AS106" s="340"/>
      <c r="AT106" s="333"/>
      <c r="AU106" s="333"/>
      <c r="AV106" s="333"/>
      <c r="AW106" s="337"/>
      <c r="AX106" s="339" t="s">
        <v>102</v>
      </c>
      <c r="AY106" s="333"/>
      <c r="AZ106" s="333"/>
      <c r="BA106" s="333"/>
      <c r="BB106" s="333"/>
      <c r="BC106" s="333"/>
      <c r="BD106" s="333"/>
      <c r="BE106" s="333"/>
      <c r="BF106" s="333"/>
      <c r="BG106" s="337"/>
      <c r="BH106" s="58"/>
      <c r="BI106" s="58"/>
      <c r="BJ106" s="58"/>
      <c r="BK106" s="58"/>
      <c r="BL106" s="58"/>
      <c r="BM106" s="58"/>
      <c r="BN106" s="58"/>
      <c r="BO106" s="58"/>
      <c r="BP106" s="58"/>
      <c r="BQ106" s="58"/>
      <c r="BR106" s="58"/>
      <c r="BS106" s="58"/>
      <c r="BT106" s="58"/>
      <c r="BU106" s="58"/>
      <c r="BV106" s="58"/>
      <c r="BW106" s="58"/>
      <c r="BX106" s="58"/>
      <c r="BY106" s="58"/>
      <c r="BZ106" s="58"/>
      <c r="CA106" s="58"/>
      <c r="CB106" s="58"/>
      <c r="CC106" s="58"/>
      <c r="CD106" s="58"/>
      <c r="CE106" s="58"/>
      <c r="CF106" s="58"/>
      <c r="CG106" s="58"/>
      <c r="CH106" s="58"/>
      <c r="CI106" s="58"/>
      <c r="CJ106" s="58"/>
      <c r="CK106" s="58"/>
      <c r="CL106" s="58"/>
      <c r="CM106" s="58"/>
      <c r="CN106" s="58"/>
      <c r="CO106" s="58"/>
      <c r="CP106" s="58"/>
      <c r="CQ106" s="58"/>
      <c r="CR106" s="58"/>
      <c r="CS106" s="58"/>
      <c r="CT106" s="58"/>
      <c r="CU106" s="58"/>
      <c r="CV106" s="58"/>
    </row>
    <row r="107" spans="1:100" x14ac:dyDescent="0.25">
      <c r="A107" s="58"/>
      <c r="B107" s="58"/>
      <c r="C107" s="58"/>
      <c r="D107" s="58"/>
      <c r="E107" s="58"/>
      <c r="F107" s="58"/>
      <c r="G107" s="58"/>
      <c r="H107" s="58"/>
      <c r="I107" s="58"/>
      <c r="J107" s="331"/>
      <c r="K107" s="332"/>
      <c r="L107" s="332"/>
      <c r="M107" s="332"/>
      <c r="N107" s="332"/>
      <c r="O107" s="332"/>
      <c r="P107" s="332"/>
      <c r="Q107" s="332"/>
      <c r="R107" s="332"/>
      <c r="S107" s="337"/>
      <c r="T107" s="331"/>
      <c r="U107" s="332"/>
      <c r="V107" s="332"/>
      <c r="W107" s="332"/>
      <c r="X107" s="332"/>
      <c r="Y107" s="332"/>
      <c r="Z107" s="332"/>
      <c r="AA107" s="332"/>
      <c r="AB107" s="332"/>
      <c r="AC107" s="337"/>
      <c r="AD107" s="331"/>
      <c r="AE107" s="332"/>
      <c r="AF107" s="332"/>
      <c r="AG107" s="332"/>
      <c r="AH107" s="332"/>
      <c r="AI107" s="332"/>
      <c r="AJ107" s="332"/>
      <c r="AK107" s="332"/>
      <c r="AL107" s="332"/>
      <c r="AM107" s="337"/>
      <c r="AN107" s="331"/>
      <c r="AO107" s="332"/>
      <c r="AP107" s="332"/>
      <c r="AQ107" s="332"/>
      <c r="AR107" s="332"/>
      <c r="AS107" s="332"/>
      <c r="AT107" s="332"/>
      <c r="AU107" s="332"/>
      <c r="AV107" s="332"/>
      <c r="AW107" s="337"/>
      <c r="AX107" s="331"/>
      <c r="AY107" s="332"/>
      <c r="AZ107" s="332"/>
      <c r="BA107" s="332"/>
      <c r="BB107" s="332"/>
      <c r="BC107" s="332"/>
      <c r="BD107" s="332"/>
      <c r="BE107" s="332"/>
      <c r="BF107" s="332"/>
      <c r="BG107" s="337"/>
      <c r="BH107" s="58"/>
      <c r="BI107" s="58"/>
      <c r="BJ107" s="58"/>
      <c r="BK107" s="58"/>
      <c r="BL107" s="58"/>
      <c r="BM107" s="58"/>
      <c r="BN107" s="58"/>
      <c r="BO107" s="58"/>
      <c r="BP107" s="58"/>
      <c r="BQ107" s="58"/>
      <c r="BR107" s="58"/>
      <c r="BS107" s="58"/>
      <c r="BT107" s="58"/>
      <c r="BU107" s="58"/>
      <c r="BV107" s="58"/>
      <c r="BW107" s="58"/>
      <c r="BX107" s="58"/>
      <c r="BY107" s="58"/>
      <c r="BZ107" s="58"/>
      <c r="CA107" s="58"/>
      <c r="CB107" s="58"/>
      <c r="CC107" s="58"/>
      <c r="CD107" s="58"/>
      <c r="CE107" s="58"/>
      <c r="CF107" s="58"/>
      <c r="CG107" s="58"/>
      <c r="CH107" s="58"/>
      <c r="CI107" s="58"/>
      <c r="CJ107" s="58"/>
      <c r="CK107" s="58"/>
      <c r="CL107" s="58"/>
      <c r="CM107" s="58"/>
      <c r="CN107" s="58"/>
      <c r="CO107" s="58"/>
      <c r="CP107" s="58"/>
      <c r="CQ107" s="58"/>
      <c r="CR107" s="58"/>
      <c r="CS107" s="58"/>
      <c r="CT107" s="58"/>
      <c r="CU107" s="58"/>
      <c r="CV107" s="58"/>
    </row>
    <row r="108" spans="1:100" x14ac:dyDescent="0.25">
      <c r="A108" s="58"/>
      <c r="B108" s="58"/>
      <c r="C108" s="58"/>
      <c r="D108" s="58"/>
      <c r="E108" s="58"/>
      <c r="F108" s="58"/>
      <c r="G108" s="58"/>
      <c r="H108" s="58"/>
      <c r="I108" s="58"/>
      <c r="J108" s="331"/>
      <c r="K108" s="332"/>
      <c r="L108" s="332"/>
      <c r="M108" s="332"/>
      <c r="N108" s="332"/>
      <c r="O108" s="332"/>
      <c r="P108" s="332"/>
      <c r="Q108" s="332"/>
      <c r="R108" s="332"/>
      <c r="S108" s="337"/>
      <c r="T108" s="331"/>
      <c r="U108" s="332"/>
      <c r="V108" s="332"/>
      <c r="W108" s="332"/>
      <c r="X108" s="332"/>
      <c r="Y108" s="332"/>
      <c r="Z108" s="332"/>
      <c r="AA108" s="332"/>
      <c r="AB108" s="332"/>
      <c r="AC108" s="337"/>
      <c r="AD108" s="331"/>
      <c r="AE108" s="332"/>
      <c r="AF108" s="332"/>
      <c r="AG108" s="332"/>
      <c r="AH108" s="332"/>
      <c r="AI108" s="332"/>
      <c r="AJ108" s="332"/>
      <c r="AK108" s="332"/>
      <c r="AL108" s="332"/>
      <c r="AM108" s="337"/>
      <c r="AN108" s="331"/>
      <c r="AO108" s="332"/>
      <c r="AP108" s="332"/>
      <c r="AQ108" s="332"/>
      <c r="AR108" s="332"/>
      <c r="AS108" s="332"/>
      <c r="AT108" s="332"/>
      <c r="AU108" s="332"/>
      <c r="AV108" s="332"/>
      <c r="AW108" s="337"/>
      <c r="AX108" s="331"/>
      <c r="AY108" s="332"/>
      <c r="AZ108" s="332"/>
      <c r="BA108" s="332"/>
      <c r="BB108" s="332"/>
      <c r="BC108" s="332"/>
      <c r="BD108" s="332"/>
      <c r="BE108" s="332"/>
      <c r="BF108" s="332"/>
      <c r="BG108" s="337"/>
      <c r="BH108" s="58"/>
      <c r="BI108" s="58"/>
      <c r="BJ108" s="58"/>
      <c r="BK108" s="58"/>
      <c r="BL108" s="58"/>
      <c r="BM108" s="58"/>
      <c r="BN108" s="58"/>
      <c r="BO108" s="58"/>
      <c r="BP108" s="58"/>
      <c r="BQ108" s="58"/>
      <c r="BR108" s="58"/>
      <c r="BS108" s="58"/>
      <c r="BT108" s="58"/>
      <c r="BU108" s="58"/>
      <c r="BV108" s="58"/>
      <c r="BW108" s="58"/>
      <c r="BX108" s="58"/>
      <c r="BY108" s="58"/>
      <c r="BZ108" s="58"/>
      <c r="CA108" s="58"/>
      <c r="CB108" s="58"/>
      <c r="CC108" s="58"/>
      <c r="CD108" s="58"/>
      <c r="CE108" s="58"/>
      <c r="CF108" s="58"/>
      <c r="CG108" s="58"/>
      <c r="CH108" s="58"/>
      <c r="CI108" s="58"/>
      <c r="CJ108" s="58"/>
      <c r="CK108" s="58"/>
      <c r="CL108" s="58"/>
      <c r="CM108" s="58"/>
      <c r="CN108" s="58"/>
      <c r="CO108" s="58"/>
      <c r="CP108" s="58"/>
      <c r="CQ108" s="58"/>
      <c r="CR108" s="58"/>
      <c r="CS108" s="58"/>
      <c r="CT108" s="58"/>
      <c r="CU108" s="58"/>
      <c r="CV108" s="58"/>
    </row>
    <row r="109" spans="1:100" x14ac:dyDescent="0.25">
      <c r="A109" s="58"/>
      <c r="B109" s="58"/>
      <c r="C109" s="58"/>
      <c r="D109" s="58"/>
      <c r="E109" s="58"/>
      <c r="F109" s="58"/>
      <c r="G109" s="58"/>
      <c r="H109" s="58"/>
      <c r="I109" s="58"/>
      <c r="J109" s="331"/>
      <c r="K109" s="332"/>
      <c r="L109" s="332"/>
      <c r="M109" s="332"/>
      <c r="N109" s="332"/>
      <c r="O109" s="332"/>
      <c r="P109" s="332"/>
      <c r="Q109" s="332"/>
      <c r="R109" s="332"/>
      <c r="S109" s="337"/>
      <c r="T109" s="331"/>
      <c r="U109" s="332"/>
      <c r="V109" s="332"/>
      <c r="W109" s="332"/>
      <c r="X109" s="332"/>
      <c r="Y109" s="332"/>
      <c r="Z109" s="332"/>
      <c r="AA109" s="332"/>
      <c r="AB109" s="332"/>
      <c r="AC109" s="337"/>
      <c r="AD109" s="331"/>
      <c r="AE109" s="332"/>
      <c r="AF109" s="332"/>
      <c r="AG109" s="332"/>
      <c r="AH109" s="332"/>
      <c r="AI109" s="332"/>
      <c r="AJ109" s="332"/>
      <c r="AK109" s="332"/>
      <c r="AL109" s="332"/>
      <c r="AM109" s="337"/>
      <c r="AN109" s="331"/>
      <c r="AO109" s="332"/>
      <c r="AP109" s="332"/>
      <c r="AQ109" s="332"/>
      <c r="AR109" s="332"/>
      <c r="AS109" s="332"/>
      <c r="AT109" s="332"/>
      <c r="AU109" s="332"/>
      <c r="AV109" s="332"/>
      <c r="AW109" s="337"/>
      <c r="AX109" s="331"/>
      <c r="AY109" s="332"/>
      <c r="AZ109" s="332"/>
      <c r="BA109" s="332"/>
      <c r="BB109" s="332"/>
      <c r="BC109" s="332"/>
      <c r="BD109" s="332"/>
      <c r="BE109" s="332"/>
      <c r="BF109" s="332"/>
      <c r="BG109" s="337"/>
      <c r="BH109" s="58"/>
      <c r="BI109" s="58"/>
      <c r="BJ109" s="58"/>
      <c r="BK109" s="58"/>
      <c r="BL109" s="58"/>
      <c r="BM109" s="58"/>
      <c r="BN109" s="58"/>
      <c r="BO109" s="58"/>
      <c r="BP109" s="58"/>
      <c r="BQ109" s="58"/>
      <c r="BR109" s="58"/>
      <c r="BS109" s="58"/>
      <c r="BT109" s="58"/>
      <c r="BU109" s="58"/>
      <c r="BV109" s="58"/>
      <c r="BW109" s="58"/>
      <c r="BX109" s="58"/>
      <c r="BY109" s="58"/>
      <c r="BZ109" s="58"/>
      <c r="CA109" s="58"/>
      <c r="CB109" s="58"/>
      <c r="CC109" s="58"/>
      <c r="CD109" s="58"/>
      <c r="CE109" s="58"/>
      <c r="CF109" s="58"/>
      <c r="CG109" s="58"/>
      <c r="CH109" s="58"/>
      <c r="CI109" s="58"/>
      <c r="CJ109" s="58"/>
      <c r="CK109" s="58"/>
      <c r="CL109" s="58"/>
      <c r="CM109" s="58"/>
      <c r="CN109" s="58"/>
      <c r="CO109" s="58"/>
      <c r="CP109" s="58"/>
      <c r="CQ109" s="58"/>
      <c r="CR109" s="58"/>
      <c r="CS109" s="58"/>
      <c r="CT109" s="58"/>
      <c r="CU109" s="58"/>
      <c r="CV109" s="58"/>
    </row>
    <row r="110" spans="1:100" x14ac:dyDescent="0.25">
      <c r="A110" s="58"/>
      <c r="B110" s="58"/>
      <c r="C110" s="58"/>
      <c r="D110" s="58"/>
      <c r="E110" s="58"/>
      <c r="F110" s="58"/>
      <c r="G110" s="58"/>
      <c r="H110" s="58"/>
      <c r="I110" s="58"/>
      <c r="J110" s="331"/>
      <c r="K110" s="332"/>
      <c r="L110" s="332"/>
      <c r="M110" s="332"/>
      <c r="N110" s="332"/>
      <c r="O110" s="332"/>
      <c r="P110" s="332"/>
      <c r="Q110" s="332"/>
      <c r="R110" s="332"/>
      <c r="S110" s="337"/>
      <c r="T110" s="331"/>
      <c r="U110" s="332"/>
      <c r="V110" s="332"/>
      <c r="W110" s="332"/>
      <c r="X110" s="332"/>
      <c r="Y110" s="332"/>
      <c r="Z110" s="332"/>
      <c r="AA110" s="332"/>
      <c r="AB110" s="332"/>
      <c r="AC110" s="337"/>
      <c r="AD110" s="331"/>
      <c r="AE110" s="332"/>
      <c r="AF110" s="332"/>
      <c r="AG110" s="332"/>
      <c r="AH110" s="332"/>
      <c r="AI110" s="332"/>
      <c r="AJ110" s="332"/>
      <c r="AK110" s="332"/>
      <c r="AL110" s="332"/>
      <c r="AM110" s="337"/>
      <c r="AN110" s="331"/>
      <c r="AO110" s="332"/>
      <c r="AP110" s="332"/>
      <c r="AQ110" s="332"/>
      <c r="AR110" s="332"/>
      <c r="AS110" s="332"/>
      <c r="AT110" s="332"/>
      <c r="AU110" s="332"/>
      <c r="AV110" s="332"/>
      <c r="AW110" s="337"/>
      <c r="AX110" s="331"/>
      <c r="AY110" s="332"/>
      <c r="AZ110" s="332"/>
      <c r="BA110" s="332"/>
      <c r="BB110" s="332"/>
      <c r="BC110" s="332"/>
      <c r="BD110" s="332"/>
      <c r="BE110" s="332"/>
      <c r="BF110" s="332"/>
      <c r="BG110" s="337"/>
      <c r="BH110" s="58"/>
      <c r="BI110" s="58"/>
      <c r="BJ110" s="58"/>
      <c r="BK110" s="58"/>
      <c r="BL110" s="58"/>
      <c r="BM110" s="58"/>
      <c r="BN110" s="58"/>
      <c r="BO110" s="58"/>
      <c r="BP110" s="58"/>
      <c r="BQ110" s="58"/>
      <c r="BR110" s="58"/>
      <c r="BS110" s="58"/>
      <c r="BT110" s="58"/>
      <c r="BU110" s="58"/>
      <c r="BV110" s="58"/>
      <c r="BW110" s="58"/>
      <c r="BX110" s="58"/>
      <c r="BY110" s="58"/>
      <c r="BZ110" s="58"/>
      <c r="CA110" s="58"/>
      <c r="CB110" s="58"/>
      <c r="CC110" s="58"/>
      <c r="CD110" s="58"/>
      <c r="CE110" s="58"/>
      <c r="CF110" s="58"/>
      <c r="CG110" s="58"/>
      <c r="CH110" s="58"/>
      <c r="CI110" s="58"/>
      <c r="CJ110" s="58"/>
      <c r="CK110" s="58"/>
      <c r="CL110" s="58"/>
      <c r="CM110" s="58"/>
      <c r="CN110" s="58"/>
      <c r="CO110" s="58"/>
      <c r="CP110" s="58"/>
      <c r="CQ110" s="58"/>
      <c r="CR110" s="58"/>
      <c r="CS110" s="58"/>
      <c r="CT110" s="58"/>
      <c r="CU110" s="58"/>
      <c r="CV110" s="58"/>
    </row>
    <row r="111" spans="1:100" ht="15.75" thickBot="1" x14ac:dyDescent="0.3">
      <c r="A111" s="58"/>
      <c r="B111" s="58"/>
      <c r="C111" s="58"/>
      <c r="D111" s="58"/>
      <c r="E111" s="58"/>
      <c r="F111" s="58"/>
      <c r="G111" s="58"/>
      <c r="H111" s="58"/>
      <c r="I111" s="58"/>
      <c r="J111" s="334"/>
      <c r="K111" s="335"/>
      <c r="L111" s="335"/>
      <c r="M111" s="335"/>
      <c r="N111" s="335"/>
      <c r="O111" s="335"/>
      <c r="P111" s="335"/>
      <c r="Q111" s="335"/>
      <c r="R111" s="335"/>
      <c r="S111" s="338"/>
      <c r="T111" s="334"/>
      <c r="U111" s="335"/>
      <c r="V111" s="335"/>
      <c r="W111" s="335"/>
      <c r="X111" s="335"/>
      <c r="Y111" s="335"/>
      <c r="Z111" s="335"/>
      <c r="AA111" s="335"/>
      <c r="AB111" s="335"/>
      <c r="AC111" s="338"/>
      <c r="AD111" s="334"/>
      <c r="AE111" s="335"/>
      <c r="AF111" s="335"/>
      <c r="AG111" s="335"/>
      <c r="AH111" s="335"/>
      <c r="AI111" s="335"/>
      <c r="AJ111" s="335"/>
      <c r="AK111" s="335"/>
      <c r="AL111" s="335"/>
      <c r="AM111" s="338"/>
      <c r="AN111" s="334"/>
      <c r="AO111" s="335"/>
      <c r="AP111" s="335"/>
      <c r="AQ111" s="335"/>
      <c r="AR111" s="335"/>
      <c r="AS111" s="335"/>
      <c r="AT111" s="335"/>
      <c r="AU111" s="335"/>
      <c r="AV111" s="335"/>
      <c r="AW111" s="338"/>
      <c r="AX111" s="334"/>
      <c r="AY111" s="335"/>
      <c r="AZ111" s="335"/>
      <c r="BA111" s="335"/>
      <c r="BB111" s="335"/>
      <c r="BC111" s="335"/>
      <c r="BD111" s="335"/>
      <c r="BE111" s="335"/>
      <c r="BF111" s="335"/>
      <c r="BG111" s="338"/>
      <c r="BH111" s="58"/>
      <c r="BI111" s="58"/>
      <c r="BJ111" s="58"/>
      <c r="BK111" s="58"/>
      <c r="BL111" s="58"/>
      <c r="BM111" s="58"/>
      <c r="BN111" s="58"/>
      <c r="BO111" s="58"/>
      <c r="BP111" s="58"/>
      <c r="BQ111" s="58"/>
      <c r="BR111" s="58"/>
      <c r="BS111" s="58"/>
      <c r="BT111" s="58"/>
      <c r="BU111" s="58"/>
      <c r="BV111" s="58"/>
      <c r="BW111" s="58"/>
      <c r="BX111" s="58"/>
      <c r="BY111" s="58"/>
      <c r="BZ111" s="58"/>
      <c r="CA111" s="58"/>
      <c r="CB111" s="58"/>
      <c r="CC111" s="58"/>
      <c r="CD111" s="58"/>
      <c r="CE111" s="58"/>
      <c r="CF111" s="58"/>
      <c r="CG111" s="58"/>
      <c r="CH111" s="58"/>
      <c r="CI111" s="58"/>
      <c r="CJ111" s="58"/>
      <c r="CK111" s="58"/>
      <c r="CL111" s="58"/>
      <c r="CM111" s="58"/>
      <c r="CN111" s="58"/>
      <c r="CO111" s="58"/>
      <c r="CP111" s="58"/>
      <c r="CQ111" s="58"/>
      <c r="CR111" s="58"/>
      <c r="CS111" s="58"/>
      <c r="CT111" s="58"/>
      <c r="CU111" s="58"/>
      <c r="CV111" s="58"/>
    </row>
    <row r="112" spans="1:100" x14ac:dyDescent="0.25">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c r="BO112" s="58"/>
      <c r="BP112" s="58"/>
      <c r="BQ112" s="58"/>
      <c r="BR112" s="58"/>
      <c r="BS112" s="58"/>
      <c r="BT112" s="58"/>
      <c r="BU112" s="58"/>
      <c r="BV112" s="58"/>
      <c r="BW112" s="58"/>
      <c r="BX112" s="58"/>
      <c r="BY112" s="58"/>
      <c r="BZ112" s="58"/>
      <c r="CA112" s="58"/>
      <c r="CB112" s="58"/>
      <c r="CC112" s="58"/>
      <c r="CD112" s="58"/>
      <c r="CE112" s="58"/>
      <c r="CF112" s="58"/>
      <c r="CG112" s="58"/>
      <c r="CH112" s="58"/>
      <c r="CI112" s="58"/>
      <c r="CJ112" s="58"/>
      <c r="CK112" s="58"/>
      <c r="CL112" s="58"/>
      <c r="CM112" s="58"/>
      <c r="CN112" s="58"/>
      <c r="CO112" s="58"/>
      <c r="CP112" s="58"/>
      <c r="CQ112" s="58"/>
      <c r="CR112" s="58"/>
      <c r="CS112" s="58"/>
      <c r="CT112" s="58"/>
      <c r="CU112" s="58"/>
      <c r="CV112" s="58"/>
    </row>
    <row r="113" spans="1:100" ht="15" customHeight="1" x14ac:dyDescent="0.25">
      <c r="A113" s="58"/>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58"/>
      <c r="BJ113" s="58"/>
      <c r="BK113" s="58"/>
      <c r="BL113" s="58"/>
      <c r="BM113" s="58"/>
      <c r="BN113" s="58"/>
      <c r="BO113" s="58"/>
      <c r="BP113" s="58"/>
      <c r="BQ113" s="58"/>
      <c r="BR113" s="58"/>
      <c r="BS113" s="58"/>
      <c r="BT113" s="58"/>
      <c r="BU113" s="58"/>
      <c r="BV113" s="58"/>
      <c r="BW113" s="58"/>
      <c r="BX113" s="58"/>
      <c r="BY113" s="58"/>
      <c r="BZ113" s="58"/>
      <c r="CA113" s="58"/>
      <c r="CB113" s="58"/>
      <c r="CC113" s="58"/>
      <c r="CD113" s="58"/>
      <c r="CE113" s="58"/>
      <c r="CF113" s="58"/>
      <c r="CG113" s="58"/>
      <c r="CH113" s="58"/>
      <c r="CI113" s="58"/>
      <c r="CJ113" s="58"/>
      <c r="CK113" s="58"/>
      <c r="CL113" s="58"/>
      <c r="CM113" s="58"/>
      <c r="CN113" s="58"/>
      <c r="CO113" s="58"/>
      <c r="CP113" s="58"/>
      <c r="CQ113" s="58"/>
      <c r="CR113" s="58"/>
      <c r="CS113" s="58"/>
      <c r="CT113" s="58"/>
      <c r="CU113" s="58"/>
      <c r="CV113" s="58"/>
    </row>
    <row r="114" spans="1:100" ht="15" customHeight="1" x14ac:dyDescent="0.25">
      <c r="A114" s="58"/>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58"/>
      <c r="BJ114" s="58"/>
      <c r="BK114" s="58"/>
      <c r="BL114" s="58"/>
      <c r="BM114" s="58"/>
      <c r="BN114" s="58"/>
      <c r="BO114" s="58"/>
      <c r="BP114" s="58"/>
      <c r="BQ114" s="58"/>
      <c r="BR114" s="58"/>
      <c r="BS114" s="58"/>
      <c r="BT114" s="58"/>
      <c r="BU114" s="58"/>
      <c r="BV114" s="58"/>
      <c r="BW114" s="58"/>
      <c r="BX114" s="58"/>
      <c r="BY114" s="58"/>
      <c r="BZ114" s="58"/>
      <c r="CA114" s="58"/>
      <c r="CB114" s="58"/>
      <c r="CC114" s="58"/>
      <c r="CD114" s="58"/>
      <c r="CE114" s="58"/>
      <c r="CF114" s="58"/>
      <c r="CG114" s="58"/>
      <c r="CH114" s="58"/>
      <c r="CI114" s="58"/>
      <c r="CJ114" s="58"/>
      <c r="CK114" s="58"/>
      <c r="CL114" s="58"/>
      <c r="CM114" s="58"/>
      <c r="CN114" s="58"/>
      <c r="CO114" s="58"/>
      <c r="CP114" s="58"/>
      <c r="CQ114" s="58"/>
      <c r="CR114" s="58"/>
      <c r="CS114" s="58"/>
      <c r="CT114" s="58"/>
      <c r="CU114" s="58"/>
      <c r="CV114" s="58"/>
    </row>
    <row r="115" spans="1:100" x14ac:dyDescent="0.25">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c r="CS115" s="58"/>
      <c r="CT115" s="58"/>
      <c r="CU115" s="58"/>
      <c r="CV115" s="58"/>
    </row>
    <row r="116" spans="1:100" x14ac:dyDescent="0.25">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c r="BO116" s="58"/>
      <c r="BP116" s="58"/>
      <c r="BQ116" s="58"/>
      <c r="BR116" s="58"/>
      <c r="BS116" s="58"/>
      <c r="BT116" s="58"/>
      <c r="BU116" s="58"/>
      <c r="BV116" s="58"/>
      <c r="BW116" s="58"/>
      <c r="BX116" s="58"/>
      <c r="BY116" s="58"/>
      <c r="BZ116" s="58"/>
      <c r="CA116" s="58"/>
      <c r="CB116" s="58"/>
      <c r="CC116" s="58"/>
      <c r="CD116" s="58"/>
      <c r="CE116" s="58"/>
      <c r="CF116" s="58"/>
      <c r="CG116" s="58"/>
      <c r="CH116" s="58"/>
      <c r="CI116" s="58"/>
      <c r="CJ116" s="58"/>
      <c r="CK116" s="58"/>
      <c r="CL116" s="58"/>
      <c r="CM116" s="58"/>
      <c r="CN116" s="58"/>
      <c r="CO116" s="58"/>
      <c r="CP116" s="58"/>
      <c r="CQ116" s="58"/>
      <c r="CR116" s="58"/>
      <c r="CS116" s="58"/>
      <c r="CT116" s="58"/>
      <c r="CU116" s="58"/>
      <c r="CV116" s="58"/>
    </row>
    <row r="117" spans="1:100" x14ac:dyDescent="0.25">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c r="BO117" s="58"/>
      <c r="BP117" s="58"/>
      <c r="BQ117" s="58"/>
      <c r="BR117" s="58"/>
      <c r="BS117" s="58"/>
      <c r="BT117" s="58"/>
      <c r="BU117" s="58"/>
      <c r="BV117" s="58"/>
      <c r="BW117" s="58"/>
      <c r="BX117" s="58"/>
      <c r="BY117" s="58"/>
      <c r="BZ117" s="58"/>
      <c r="CA117" s="58"/>
      <c r="CB117" s="58"/>
      <c r="CC117" s="58"/>
      <c r="CD117" s="58"/>
      <c r="CE117" s="58"/>
      <c r="CF117" s="58"/>
      <c r="CG117" s="58"/>
      <c r="CH117" s="58"/>
      <c r="CI117" s="58"/>
      <c r="CJ117" s="58"/>
      <c r="CK117" s="58"/>
      <c r="CL117" s="58"/>
      <c r="CM117" s="58"/>
      <c r="CN117" s="58"/>
      <c r="CO117" s="58"/>
      <c r="CP117" s="58"/>
      <c r="CQ117" s="58"/>
      <c r="CR117" s="58"/>
      <c r="CS117" s="58"/>
      <c r="CT117" s="58"/>
      <c r="CU117" s="58"/>
      <c r="CV117" s="58"/>
    </row>
    <row r="118" spans="1:100" x14ac:dyDescent="0.25">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c r="BO118" s="58"/>
      <c r="BP118" s="58"/>
      <c r="BQ118" s="58"/>
      <c r="BR118" s="58"/>
      <c r="BS118" s="58"/>
      <c r="BT118" s="58"/>
      <c r="BU118" s="58"/>
      <c r="BV118" s="58"/>
      <c r="BW118" s="58"/>
      <c r="BX118" s="58"/>
      <c r="BY118" s="58"/>
      <c r="BZ118" s="58"/>
      <c r="CA118" s="58"/>
      <c r="CB118" s="58"/>
      <c r="CC118" s="58"/>
      <c r="CD118" s="58"/>
      <c r="CE118" s="58"/>
      <c r="CF118" s="58"/>
      <c r="CG118" s="58"/>
      <c r="CH118" s="58"/>
      <c r="CI118" s="58"/>
      <c r="CJ118" s="58"/>
      <c r="CK118" s="58"/>
      <c r="CL118" s="58"/>
      <c r="CM118" s="58"/>
      <c r="CN118" s="58"/>
      <c r="CO118" s="58"/>
      <c r="CP118" s="58"/>
      <c r="CQ118" s="58"/>
      <c r="CR118" s="58"/>
      <c r="CS118" s="58"/>
      <c r="CT118" s="58"/>
      <c r="CU118" s="58"/>
      <c r="CV118" s="58"/>
    </row>
    <row r="119" spans="1:100" x14ac:dyDescent="0.25">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c r="BO119" s="58"/>
      <c r="BP119" s="58"/>
      <c r="BQ119" s="58"/>
      <c r="BR119" s="58"/>
      <c r="BS119" s="58"/>
      <c r="BT119" s="58"/>
      <c r="BU119" s="58"/>
      <c r="BV119" s="58"/>
      <c r="BW119" s="58"/>
      <c r="BX119" s="58"/>
      <c r="BY119" s="58"/>
      <c r="BZ119" s="58"/>
      <c r="CA119" s="58"/>
      <c r="CB119" s="58"/>
      <c r="CC119" s="58"/>
      <c r="CD119" s="58"/>
      <c r="CE119" s="58"/>
      <c r="CF119" s="58"/>
      <c r="CG119" s="58"/>
      <c r="CH119" s="58"/>
      <c r="CI119" s="58"/>
      <c r="CJ119" s="58"/>
      <c r="CK119" s="58"/>
      <c r="CL119" s="58"/>
      <c r="CM119" s="58"/>
      <c r="CN119" s="58"/>
      <c r="CO119" s="58"/>
      <c r="CP119" s="58"/>
      <c r="CQ119" s="58"/>
      <c r="CR119" s="58"/>
      <c r="CS119" s="58"/>
      <c r="CT119" s="58"/>
      <c r="CU119" s="58"/>
      <c r="CV119" s="58"/>
    </row>
    <row r="120" spans="1:100" x14ac:dyDescent="0.25">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c r="BO120" s="58"/>
      <c r="BP120" s="58"/>
      <c r="BQ120" s="58"/>
      <c r="BR120" s="58"/>
      <c r="BS120" s="58"/>
      <c r="BT120" s="58"/>
      <c r="BU120" s="58"/>
      <c r="BV120" s="58"/>
      <c r="BW120" s="58"/>
      <c r="BX120" s="58"/>
      <c r="BY120" s="58"/>
      <c r="BZ120" s="58"/>
      <c r="CA120" s="58"/>
      <c r="CB120" s="58"/>
      <c r="CC120" s="58"/>
      <c r="CD120" s="58"/>
      <c r="CE120" s="58"/>
      <c r="CF120" s="58"/>
      <c r="CG120" s="58"/>
      <c r="CH120" s="58"/>
      <c r="CI120" s="58"/>
      <c r="CJ120" s="58"/>
      <c r="CK120" s="58"/>
      <c r="CL120" s="58"/>
      <c r="CM120" s="58"/>
      <c r="CN120" s="58"/>
      <c r="CO120" s="58"/>
      <c r="CP120" s="58"/>
      <c r="CQ120" s="58"/>
      <c r="CR120" s="58"/>
      <c r="CS120" s="58"/>
      <c r="CT120" s="58"/>
      <c r="CU120" s="58"/>
      <c r="CV120" s="58"/>
    </row>
    <row r="121" spans="1:100" ht="21" x14ac:dyDescent="0.25">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62"/>
      <c r="BJ121" s="62"/>
      <c r="BK121" s="62"/>
      <c r="BL121" s="62"/>
      <c r="BM121" s="62"/>
      <c r="BN121" s="62"/>
      <c r="BO121" s="58"/>
      <c r="BP121" s="58"/>
      <c r="BQ121" s="58"/>
      <c r="BR121" s="58"/>
      <c r="BS121" s="58"/>
      <c r="BT121" s="58"/>
      <c r="BU121" s="58"/>
      <c r="BV121" s="58"/>
      <c r="BW121" s="58"/>
      <c r="BX121" s="58"/>
      <c r="BY121" s="58"/>
      <c r="BZ121" s="58"/>
      <c r="CA121" s="58"/>
      <c r="CB121" s="58"/>
      <c r="CC121" s="58"/>
      <c r="CD121" s="58"/>
      <c r="CE121" s="58"/>
      <c r="CF121" s="58"/>
      <c r="CG121" s="58"/>
      <c r="CH121" s="58"/>
      <c r="CI121" s="58"/>
      <c r="CJ121" s="58"/>
      <c r="CK121" s="58"/>
      <c r="CL121" s="58"/>
      <c r="CM121" s="58"/>
      <c r="CN121" s="58"/>
      <c r="CO121" s="58"/>
      <c r="CP121" s="58"/>
      <c r="CQ121" s="58"/>
      <c r="CR121" s="58"/>
      <c r="CS121" s="58"/>
      <c r="CT121" s="58"/>
      <c r="CU121" s="58"/>
      <c r="CV121" s="58"/>
    </row>
    <row r="122" spans="1:100" ht="21" x14ac:dyDescent="0.25">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62"/>
      <c r="BJ122" s="62"/>
      <c r="BK122" s="62"/>
      <c r="BL122" s="62"/>
      <c r="BM122" s="62"/>
      <c r="BN122" s="62"/>
      <c r="BO122" s="58"/>
      <c r="BP122" s="58"/>
      <c r="BQ122" s="58"/>
      <c r="BR122" s="58"/>
      <c r="BS122" s="58"/>
      <c r="BT122" s="58"/>
      <c r="BU122" s="58"/>
      <c r="BV122" s="58"/>
      <c r="BW122" s="58"/>
      <c r="BX122" s="58"/>
      <c r="BY122" s="58"/>
      <c r="BZ122" s="58"/>
      <c r="CA122" s="58"/>
      <c r="CB122" s="58"/>
      <c r="CC122" s="58"/>
      <c r="CD122" s="58"/>
      <c r="CE122" s="58"/>
      <c r="CF122" s="58"/>
      <c r="CG122" s="58"/>
      <c r="CH122" s="58"/>
      <c r="CI122" s="58"/>
      <c r="CJ122" s="58"/>
      <c r="CK122" s="58"/>
      <c r="CL122" s="58"/>
      <c r="CM122" s="58"/>
      <c r="CN122" s="58"/>
      <c r="CO122" s="58"/>
      <c r="CP122" s="58"/>
      <c r="CQ122" s="58"/>
      <c r="CR122" s="58"/>
      <c r="CS122" s="58"/>
      <c r="CT122" s="58"/>
      <c r="CU122" s="58"/>
      <c r="CV122" s="58"/>
    </row>
    <row r="123" spans="1:100" x14ac:dyDescent="0.25">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c r="BO123" s="58"/>
      <c r="BP123" s="58"/>
      <c r="BQ123" s="58"/>
      <c r="BR123" s="58"/>
      <c r="BS123" s="58"/>
      <c r="BT123" s="58"/>
      <c r="BU123" s="58"/>
      <c r="BV123" s="58"/>
      <c r="BW123" s="58"/>
      <c r="BX123" s="58"/>
      <c r="BY123" s="58"/>
      <c r="BZ123" s="58"/>
      <c r="CA123" s="58"/>
      <c r="CB123" s="58"/>
      <c r="CC123" s="58"/>
      <c r="CD123" s="58"/>
      <c r="CE123" s="58"/>
      <c r="CF123" s="58"/>
      <c r="CG123" s="58"/>
      <c r="CH123" s="58"/>
      <c r="CI123" s="58"/>
      <c r="CJ123" s="58"/>
      <c r="CK123" s="58"/>
      <c r="CL123" s="58"/>
      <c r="CM123" s="58"/>
      <c r="CN123" s="58"/>
      <c r="CO123" s="58"/>
      <c r="CP123" s="58"/>
      <c r="CQ123" s="58"/>
      <c r="CR123" s="58"/>
      <c r="CS123" s="58"/>
      <c r="CT123" s="58"/>
      <c r="CU123" s="58"/>
      <c r="CV123" s="58"/>
    </row>
    <row r="124" spans="1:100" x14ac:dyDescent="0.25">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c r="BO124" s="58"/>
      <c r="BP124" s="58"/>
      <c r="BQ124" s="58"/>
      <c r="BR124" s="58"/>
      <c r="BS124" s="58"/>
      <c r="BT124" s="58"/>
      <c r="BU124" s="58"/>
      <c r="BV124" s="58"/>
      <c r="BW124" s="58"/>
      <c r="BX124" s="58"/>
      <c r="BY124" s="58"/>
      <c r="BZ124" s="58"/>
      <c r="CA124" s="58"/>
      <c r="CB124" s="58"/>
      <c r="CC124" s="58"/>
      <c r="CD124" s="58"/>
      <c r="CE124" s="58"/>
      <c r="CF124" s="58"/>
      <c r="CG124" s="58"/>
      <c r="CH124" s="58"/>
      <c r="CI124" s="58"/>
      <c r="CJ124" s="58"/>
      <c r="CK124" s="58"/>
      <c r="CL124" s="58"/>
      <c r="CM124" s="58"/>
      <c r="CN124" s="58"/>
      <c r="CO124" s="58"/>
      <c r="CP124" s="58"/>
      <c r="CQ124" s="58"/>
      <c r="CR124" s="58"/>
      <c r="CS124" s="58"/>
      <c r="CT124" s="58"/>
      <c r="CU124" s="58"/>
      <c r="CV124" s="58"/>
    </row>
    <row r="125" spans="1:100" x14ac:dyDescent="0.25">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c r="BO125" s="58"/>
      <c r="BP125" s="58"/>
      <c r="BQ125" s="58"/>
      <c r="BR125" s="58"/>
      <c r="BS125" s="58"/>
      <c r="BT125" s="58"/>
      <c r="BU125" s="58"/>
      <c r="BV125" s="58"/>
      <c r="BW125" s="58"/>
      <c r="BX125" s="58"/>
      <c r="BY125" s="58"/>
      <c r="BZ125" s="58"/>
      <c r="CA125" s="58"/>
      <c r="CB125" s="58"/>
      <c r="CC125" s="58"/>
      <c r="CD125" s="58"/>
      <c r="CE125" s="58"/>
      <c r="CF125" s="58"/>
      <c r="CG125" s="58"/>
      <c r="CH125" s="58"/>
      <c r="CI125" s="58"/>
      <c r="CJ125" s="58"/>
      <c r="CK125" s="58"/>
      <c r="CL125" s="58"/>
      <c r="CM125" s="58"/>
      <c r="CN125" s="58"/>
      <c r="CO125" s="58"/>
      <c r="CP125" s="58"/>
      <c r="CQ125" s="58"/>
      <c r="CR125" s="58"/>
      <c r="CS125" s="58"/>
      <c r="CT125" s="58"/>
      <c r="CU125" s="58"/>
      <c r="CV125" s="58"/>
    </row>
    <row r="126" spans="1:100" x14ac:dyDescent="0.25">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c r="BO126" s="58"/>
      <c r="BP126" s="58"/>
      <c r="BQ126" s="58"/>
      <c r="BR126" s="58"/>
      <c r="BS126" s="58"/>
      <c r="BT126" s="58"/>
      <c r="BU126" s="58"/>
      <c r="BV126" s="58"/>
      <c r="BW126" s="58"/>
      <c r="BX126" s="58"/>
      <c r="BY126" s="58"/>
      <c r="BZ126" s="58"/>
      <c r="CA126" s="58"/>
      <c r="CB126" s="58"/>
      <c r="CC126" s="58"/>
      <c r="CD126" s="58"/>
      <c r="CE126" s="58"/>
      <c r="CF126" s="58"/>
      <c r="CG126" s="58"/>
      <c r="CH126" s="58"/>
      <c r="CI126" s="58"/>
      <c r="CJ126" s="58"/>
      <c r="CK126" s="58"/>
      <c r="CL126" s="58"/>
      <c r="CM126" s="58"/>
      <c r="CN126" s="58"/>
      <c r="CO126" s="58"/>
      <c r="CP126" s="58"/>
      <c r="CQ126" s="58"/>
      <c r="CR126" s="58"/>
      <c r="CS126" s="58"/>
      <c r="CT126" s="58"/>
      <c r="CU126" s="58"/>
      <c r="CV126" s="58"/>
    </row>
    <row r="127" spans="1:100" x14ac:dyDescent="0.25">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8"/>
      <c r="BR127" s="58"/>
      <c r="BS127" s="58"/>
      <c r="BT127" s="58"/>
      <c r="BU127" s="58"/>
      <c r="BV127" s="58"/>
      <c r="BW127" s="58"/>
      <c r="BX127" s="58"/>
      <c r="BY127" s="58"/>
      <c r="BZ127" s="58"/>
      <c r="CA127" s="58"/>
      <c r="CB127" s="58"/>
      <c r="CC127" s="58"/>
      <c r="CD127" s="58"/>
      <c r="CE127" s="58"/>
      <c r="CF127" s="58"/>
      <c r="CG127" s="58"/>
      <c r="CH127" s="58"/>
      <c r="CI127" s="58"/>
      <c r="CJ127" s="58"/>
      <c r="CK127" s="58"/>
      <c r="CL127" s="58"/>
      <c r="CM127" s="58"/>
      <c r="CN127" s="58"/>
      <c r="CO127" s="58"/>
      <c r="CP127" s="58"/>
      <c r="CQ127" s="58"/>
      <c r="CR127" s="58"/>
      <c r="CS127" s="58"/>
      <c r="CT127" s="58"/>
      <c r="CU127" s="58"/>
      <c r="CV127" s="58"/>
    </row>
    <row r="128" spans="1:100" x14ac:dyDescent="0.25">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c r="BO128" s="58"/>
      <c r="BP128" s="58"/>
      <c r="BQ128" s="58"/>
      <c r="BR128" s="58"/>
      <c r="BS128" s="58"/>
      <c r="BT128" s="58"/>
      <c r="BU128" s="58"/>
      <c r="BV128" s="58"/>
      <c r="BW128" s="58"/>
      <c r="BX128" s="58"/>
      <c r="BY128" s="58"/>
      <c r="BZ128" s="58"/>
      <c r="CA128" s="58"/>
      <c r="CB128" s="58"/>
      <c r="CC128" s="58"/>
      <c r="CD128" s="58"/>
      <c r="CE128" s="58"/>
      <c r="CF128" s="58"/>
      <c r="CG128" s="58"/>
      <c r="CH128" s="58"/>
      <c r="CI128" s="58"/>
      <c r="CJ128" s="58"/>
      <c r="CK128" s="58"/>
      <c r="CL128" s="58"/>
      <c r="CM128" s="58"/>
      <c r="CN128" s="58"/>
      <c r="CO128" s="58"/>
      <c r="CP128" s="58"/>
      <c r="CQ128" s="58"/>
      <c r="CR128" s="58"/>
      <c r="CS128" s="58"/>
      <c r="CT128" s="58"/>
      <c r="CU128" s="58"/>
      <c r="CV128" s="58"/>
    </row>
    <row r="129" spans="1:100" x14ac:dyDescent="0.25">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c r="BO129" s="58"/>
      <c r="BP129" s="58"/>
      <c r="BQ129" s="58"/>
      <c r="BR129" s="58"/>
      <c r="BS129" s="58"/>
      <c r="BT129" s="58"/>
      <c r="BU129" s="58"/>
      <c r="BV129" s="58"/>
      <c r="BW129" s="58"/>
      <c r="BX129" s="58"/>
      <c r="BY129" s="58"/>
      <c r="BZ129" s="58"/>
      <c r="CA129" s="58"/>
      <c r="CB129" s="58"/>
      <c r="CC129" s="58"/>
      <c r="CD129" s="58"/>
      <c r="CE129" s="58"/>
      <c r="CF129" s="58"/>
      <c r="CG129" s="58"/>
      <c r="CH129" s="58"/>
      <c r="CI129" s="58"/>
      <c r="CJ129" s="58"/>
      <c r="CK129" s="58"/>
      <c r="CL129" s="58"/>
      <c r="CM129" s="58"/>
      <c r="CN129" s="58"/>
      <c r="CO129" s="58"/>
      <c r="CP129" s="58"/>
      <c r="CQ129" s="58"/>
      <c r="CR129" s="58"/>
      <c r="CS129" s="58"/>
      <c r="CT129" s="58"/>
      <c r="CU129" s="58"/>
      <c r="CV129" s="58"/>
    </row>
    <row r="130" spans="1:100" x14ac:dyDescent="0.25">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c r="BO130" s="58"/>
      <c r="BP130" s="58"/>
      <c r="BQ130" s="58"/>
      <c r="BR130" s="58"/>
      <c r="BS130" s="58"/>
      <c r="BT130" s="58"/>
      <c r="BU130" s="58"/>
      <c r="BV130" s="58"/>
      <c r="BW130" s="58"/>
      <c r="BX130" s="58"/>
      <c r="BY130" s="58"/>
      <c r="BZ130" s="58"/>
      <c r="CA130" s="58"/>
      <c r="CB130" s="58"/>
      <c r="CC130" s="58"/>
      <c r="CD130" s="58"/>
      <c r="CE130" s="58"/>
      <c r="CF130" s="58"/>
      <c r="CG130" s="58"/>
      <c r="CH130" s="58"/>
      <c r="CI130" s="58"/>
      <c r="CJ130" s="58"/>
      <c r="CK130" s="58"/>
      <c r="CL130" s="58"/>
      <c r="CM130" s="58"/>
      <c r="CN130" s="58"/>
      <c r="CO130" s="58"/>
      <c r="CP130" s="58"/>
      <c r="CQ130" s="58"/>
      <c r="CR130" s="58"/>
      <c r="CS130" s="58"/>
      <c r="CT130" s="58"/>
      <c r="CU130" s="58"/>
      <c r="CV130" s="58"/>
    </row>
    <row r="131" spans="1:100" x14ac:dyDescent="0.25">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c r="BO131" s="58"/>
      <c r="BP131" s="58"/>
      <c r="BQ131" s="58"/>
      <c r="BR131" s="58"/>
      <c r="BS131" s="58"/>
      <c r="BT131" s="58"/>
      <c r="BU131" s="58"/>
      <c r="BV131" s="58"/>
      <c r="BW131" s="58"/>
      <c r="BX131" s="58"/>
      <c r="BY131" s="58"/>
      <c r="BZ131" s="58"/>
      <c r="CA131" s="58"/>
      <c r="CB131" s="58"/>
      <c r="CC131" s="58"/>
      <c r="CD131" s="58"/>
      <c r="CE131" s="58"/>
      <c r="CF131" s="58"/>
      <c r="CG131" s="58"/>
      <c r="CH131" s="58"/>
      <c r="CI131" s="58"/>
      <c r="CJ131" s="58"/>
      <c r="CK131" s="58"/>
      <c r="CL131" s="58"/>
      <c r="CM131" s="58"/>
      <c r="CN131" s="58"/>
      <c r="CO131" s="58"/>
      <c r="CP131" s="58"/>
      <c r="CQ131" s="58"/>
      <c r="CR131" s="58"/>
      <c r="CS131" s="58"/>
      <c r="CT131" s="58"/>
      <c r="CU131" s="58"/>
      <c r="CV131" s="58"/>
    </row>
    <row r="132" spans="1:100" x14ac:dyDescent="0.25">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c r="BO132" s="58"/>
      <c r="BP132" s="58"/>
      <c r="BQ132" s="58"/>
      <c r="BR132" s="58"/>
      <c r="BS132" s="58"/>
      <c r="BT132" s="58"/>
      <c r="BU132" s="58"/>
      <c r="BV132" s="58"/>
      <c r="BW132" s="58"/>
      <c r="BX132" s="58"/>
      <c r="BY132" s="58"/>
      <c r="BZ132" s="58"/>
      <c r="CA132" s="58"/>
      <c r="CB132" s="58"/>
      <c r="CC132" s="58"/>
      <c r="CD132" s="58"/>
      <c r="CE132" s="58"/>
      <c r="CF132" s="58"/>
      <c r="CG132" s="58"/>
      <c r="CH132" s="58"/>
      <c r="CI132" s="58"/>
      <c r="CJ132" s="58"/>
      <c r="CK132" s="58"/>
      <c r="CL132" s="58"/>
      <c r="CM132" s="58"/>
      <c r="CN132" s="58"/>
      <c r="CO132" s="58"/>
      <c r="CP132" s="58"/>
      <c r="CQ132" s="58"/>
      <c r="CR132" s="58"/>
      <c r="CS132" s="58"/>
      <c r="CT132" s="58"/>
      <c r="CU132" s="58"/>
      <c r="CV132" s="58"/>
    </row>
    <row r="133" spans="1:100" x14ac:dyDescent="0.25">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c r="BO133" s="58"/>
      <c r="BP133" s="58"/>
      <c r="BQ133" s="58"/>
      <c r="BR133" s="58"/>
      <c r="BS133" s="58"/>
      <c r="BT133" s="58"/>
      <c r="BU133" s="58"/>
      <c r="BV133" s="58"/>
      <c r="BW133" s="58"/>
      <c r="BX133" s="58"/>
      <c r="BY133" s="58"/>
      <c r="BZ133" s="58"/>
      <c r="CA133" s="58"/>
      <c r="CB133" s="58"/>
      <c r="CC133" s="58"/>
      <c r="CD133" s="58"/>
      <c r="CE133" s="58"/>
      <c r="CF133" s="58"/>
      <c r="CG133" s="58"/>
      <c r="CH133" s="58"/>
      <c r="CI133" s="58"/>
      <c r="CJ133" s="58"/>
      <c r="CK133" s="58"/>
      <c r="CL133" s="58"/>
      <c r="CM133" s="58"/>
      <c r="CN133" s="58"/>
      <c r="CO133" s="58"/>
      <c r="CP133" s="58"/>
      <c r="CQ133" s="58"/>
      <c r="CR133" s="58"/>
      <c r="CS133" s="58"/>
      <c r="CT133" s="58"/>
      <c r="CU133" s="58"/>
      <c r="CV133" s="58"/>
    </row>
    <row r="134" spans="1:100" x14ac:dyDescent="0.25">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c r="BO134" s="58"/>
      <c r="BP134" s="58"/>
      <c r="BQ134" s="58"/>
      <c r="BR134" s="58"/>
      <c r="BS134" s="58"/>
      <c r="BT134" s="58"/>
      <c r="BU134" s="58"/>
      <c r="BV134" s="58"/>
      <c r="BW134" s="58"/>
      <c r="BX134" s="58"/>
      <c r="BY134" s="58"/>
      <c r="BZ134" s="58"/>
      <c r="CA134" s="58"/>
      <c r="CB134" s="58"/>
      <c r="CC134" s="58"/>
      <c r="CD134" s="58"/>
      <c r="CE134" s="58"/>
      <c r="CF134" s="58"/>
      <c r="CG134" s="58"/>
      <c r="CH134" s="58"/>
      <c r="CI134" s="58"/>
      <c r="CJ134" s="58"/>
      <c r="CK134" s="58"/>
      <c r="CL134" s="58"/>
      <c r="CM134" s="58"/>
      <c r="CN134" s="58"/>
      <c r="CO134" s="58"/>
      <c r="CP134" s="58"/>
      <c r="CQ134" s="58"/>
      <c r="CR134" s="58"/>
      <c r="CS134" s="58"/>
      <c r="CT134" s="58"/>
      <c r="CU134" s="58"/>
      <c r="CV134" s="58"/>
    </row>
    <row r="135" spans="1:100" x14ac:dyDescent="0.25">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c r="BO135" s="58"/>
      <c r="BP135" s="58"/>
      <c r="BQ135" s="58"/>
      <c r="BR135" s="58"/>
      <c r="BS135" s="58"/>
      <c r="BT135" s="58"/>
      <c r="BU135" s="58"/>
      <c r="BV135" s="58"/>
      <c r="BW135" s="58"/>
      <c r="BX135" s="58"/>
      <c r="BY135" s="58"/>
      <c r="BZ135" s="58"/>
      <c r="CA135" s="58"/>
      <c r="CB135" s="58"/>
      <c r="CC135" s="58"/>
      <c r="CD135" s="58"/>
      <c r="CE135" s="58"/>
      <c r="CF135" s="58"/>
      <c r="CG135" s="58"/>
      <c r="CH135" s="58"/>
      <c r="CI135" s="58"/>
      <c r="CJ135" s="58"/>
      <c r="CK135" s="58"/>
      <c r="CL135" s="58"/>
      <c r="CM135" s="58"/>
      <c r="CN135" s="58"/>
      <c r="CO135" s="58"/>
      <c r="CP135" s="58"/>
      <c r="CQ135" s="58"/>
      <c r="CR135" s="58"/>
      <c r="CS135" s="58"/>
      <c r="CT135" s="58"/>
      <c r="CU135" s="58"/>
      <c r="CV135" s="58"/>
    </row>
    <row r="136" spans="1:100" x14ac:dyDescent="0.25">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c r="BO136" s="58"/>
      <c r="BP136" s="58"/>
      <c r="BQ136" s="58"/>
      <c r="BR136" s="58"/>
      <c r="BS136" s="58"/>
      <c r="BT136" s="58"/>
      <c r="BU136" s="58"/>
      <c r="BV136" s="58"/>
      <c r="BW136" s="58"/>
      <c r="BX136" s="58"/>
      <c r="BY136" s="58"/>
      <c r="BZ136" s="58"/>
      <c r="CA136" s="58"/>
      <c r="CB136" s="58"/>
      <c r="CC136" s="58"/>
      <c r="CD136" s="58"/>
      <c r="CE136" s="58"/>
      <c r="CF136" s="58"/>
      <c r="CG136" s="58"/>
      <c r="CH136" s="58"/>
      <c r="CI136" s="58"/>
      <c r="CJ136" s="58"/>
      <c r="CK136" s="58"/>
      <c r="CL136" s="58"/>
      <c r="CM136" s="58"/>
      <c r="CN136" s="58"/>
      <c r="CO136" s="58"/>
      <c r="CP136" s="58"/>
      <c r="CQ136" s="58"/>
      <c r="CR136" s="58"/>
      <c r="CS136" s="58"/>
      <c r="CT136" s="58"/>
      <c r="CU136" s="58"/>
      <c r="CV136" s="58"/>
    </row>
    <row r="137" spans="1:100" x14ac:dyDescent="0.25">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c r="BO137" s="58"/>
      <c r="BP137" s="58"/>
      <c r="BQ137" s="58"/>
      <c r="BR137" s="58"/>
      <c r="BS137" s="58"/>
      <c r="BT137" s="58"/>
      <c r="BU137" s="58"/>
      <c r="BV137" s="58"/>
      <c r="BW137" s="58"/>
      <c r="BX137" s="58"/>
      <c r="BY137" s="58"/>
      <c r="BZ137" s="58"/>
      <c r="CA137" s="58"/>
      <c r="CB137" s="58"/>
      <c r="CC137" s="58"/>
      <c r="CD137" s="58"/>
      <c r="CE137" s="58"/>
      <c r="CF137" s="58"/>
      <c r="CG137" s="58"/>
      <c r="CH137" s="58"/>
      <c r="CI137" s="58"/>
      <c r="CJ137" s="58"/>
      <c r="CK137" s="58"/>
      <c r="CL137" s="58"/>
      <c r="CM137" s="58"/>
      <c r="CN137" s="58"/>
      <c r="CO137" s="58"/>
      <c r="CP137" s="58"/>
      <c r="CQ137" s="58"/>
      <c r="CR137" s="58"/>
      <c r="CS137" s="58"/>
      <c r="CT137" s="58"/>
      <c r="CU137" s="58"/>
      <c r="CV137" s="58"/>
    </row>
    <row r="138" spans="1:100" x14ac:dyDescent="0.25">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c r="BO138" s="58"/>
      <c r="BP138" s="58"/>
      <c r="BQ138" s="58"/>
      <c r="BR138" s="58"/>
      <c r="BS138" s="58"/>
      <c r="BT138" s="58"/>
      <c r="BU138" s="58"/>
      <c r="BV138" s="58"/>
      <c r="BW138" s="58"/>
      <c r="BX138" s="58"/>
      <c r="BY138" s="58"/>
      <c r="BZ138" s="58"/>
      <c r="CA138" s="58"/>
      <c r="CB138" s="58"/>
      <c r="CC138" s="58"/>
      <c r="CD138" s="58"/>
      <c r="CE138" s="58"/>
      <c r="CF138" s="58"/>
      <c r="CG138" s="58"/>
      <c r="CH138" s="58"/>
      <c r="CI138" s="58"/>
      <c r="CJ138" s="58"/>
      <c r="CK138" s="58"/>
      <c r="CL138" s="58"/>
      <c r="CM138" s="58"/>
      <c r="CN138" s="58"/>
      <c r="CO138" s="58"/>
      <c r="CP138" s="58"/>
      <c r="CQ138" s="58"/>
      <c r="CR138" s="58"/>
      <c r="CS138" s="58"/>
      <c r="CT138" s="58"/>
      <c r="CU138" s="58"/>
      <c r="CV138" s="58"/>
    </row>
    <row r="139" spans="1:100" x14ac:dyDescent="0.25">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c r="BO139" s="58"/>
      <c r="BP139" s="58"/>
      <c r="BQ139" s="58"/>
      <c r="BR139" s="58"/>
      <c r="BS139" s="58"/>
      <c r="BT139" s="58"/>
      <c r="BU139" s="58"/>
      <c r="BV139" s="58"/>
      <c r="BW139" s="58"/>
      <c r="BX139" s="58"/>
      <c r="BY139" s="58"/>
      <c r="BZ139" s="58"/>
      <c r="CA139" s="58"/>
      <c r="CB139" s="58"/>
      <c r="CC139" s="58"/>
      <c r="CD139" s="58"/>
      <c r="CE139" s="58"/>
    </row>
    <row r="140" spans="1:100" x14ac:dyDescent="0.25">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c r="BO140" s="58"/>
      <c r="BP140" s="58"/>
      <c r="BQ140" s="58"/>
      <c r="BR140" s="58"/>
      <c r="BS140" s="58"/>
      <c r="BT140" s="58"/>
      <c r="BU140" s="58"/>
      <c r="BV140" s="58"/>
      <c r="BW140" s="58"/>
      <c r="BX140" s="58"/>
      <c r="BY140" s="58"/>
      <c r="BZ140" s="58"/>
      <c r="CA140" s="58"/>
      <c r="CB140" s="58"/>
      <c r="CC140" s="58"/>
      <c r="CD140" s="58"/>
      <c r="CE140" s="58"/>
    </row>
    <row r="141" spans="1:100" x14ac:dyDescent="0.25">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c r="BO141" s="58"/>
      <c r="BP141" s="58"/>
      <c r="BQ141" s="58"/>
      <c r="BR141" s="58"/>
      <c r="BS141" s="58"/>
      <c r="BT141" s="58"/>
      <c r="BU141" s="58"/>
      <c r="BV141" s="58"/>
      <c r="BW141" s="58"/>
      <c r="BX141" s="58"/>
      <c r="BY141" s="58"/>
      <c r="BZ141" s="58"/>
      <c r="CA141" s="58"/>
      <c r="CB141" s="58"/>
      <c r="CC141" s="58"/>
      <c r="CD141" s="58"/>
      <c r="CE141" s="58"/>
    </row>
    <row r="142" spans="1:100" x14ac:dyDescent="0.25">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c r="BS142" s="58"/>
      <c r="BT142" s="58"/>
      <c r="BU142" s="58"/>
      <c r="BV142" s="58"/>
      <c r="BW142" s="58"/>
      <c r="BX142" s="58"/>
      <c r="BY142" s="58"/>
      <c r="BZ142" s="58"/>
      <c r="CA142" s="58"/>
      <c r="CB142" s="58"/>
      <c r="CC142" s="58"/>
      <c r="CD142" s="58"/>
      <c r="CE142" s="58"/>
    </row>
    <row r="143" spans="1:100" x14ac:dyDescent="0.25">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c r="BO143" s="58"/>
      <c r="BP143" s="58"/>
      <c r="BQ143" s="58"/>
      <c r="BR143" s="58"/>
      <c r="BS143" s="58"/>
      <c r="BT143" s="58"/>
      <c r="BU143" s="58"/>
      <c r="BV143" s="58"/>
      <c r="BW143" s="58"/>
      <c r="BX143" s="58"/>
      <c r="BY143" s="58"/>
      <c r="BZ143" s="58"/>
      <c r="CA143" s="58"/>
      <c r="CB143" s="58"/>
      <c r="CC143" s="58"/>
      <c r="CD143" s="58"/>
      <c r="CE143" s="58"/>
    </row>
    <row r="144" spans="1:100" x14ac:dyDescent="0.25">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c r="BO144" s="58"/>
      <c r="BP144" s="58"/>
      <c r="BQ144" s="58"/>
      <c r="BR144" s="58"/>
      <c r="BS144" s="58"/>
      <c r="BT144" s="58"/>
      <c r="BU144" s="58"/>
      <c r="BV144" s="58"/>
      <c r="BW144" s="58"/>
      <c r="BX144" s="58"/>
      <c r="BY144" s="58"/>
      <c r="BZ144" s="58"/>
      <c r="CA144" s="58"/>
      <c r="CB144" s="58"/>
      <c r="CC144" s="58"/>
      <c r="CD144" s="58"/>
      <c r="CE144" s="58"/>
    </row>
    <row r="145" spans="1:83" x14ac:dyDescent="0.25">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c r="BO145" s="58"/>
      <c r="BP145" s="58"/>
      <c r="BQ145" s="58"/>
      <c r="BR145" s="58"/>
      <c r="BS145" s="58"/>
      <c r="BT145" s="58"/>
      <c r="BU145" s="58"/>
      <c r="BV145" s="58"/>
      <c r="BW145" s="58"/>
      <c r="BX145" s="58"/>
      <c r="BY145" s="58"/>
      <c r="BZ145" s="58"/>
      <c r="CA145" s="58"/>
      <c r="CB145" s="58"/>
      <c r="CC145" s="58"/>
      <c r="CD145" s="58"/>
      <c r="CE145" s="58"/>
    </row>
    <row r="146" spans="1:83" x14ac:dyDescent="0.25">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c r="BO146" s="58"/>
      <c r="BP146" s="58"/>
      <c r="BQ146" s="58"/>
      <c r="BR146" s="58"/>
      <c r="BS146" s="58"/>
      <c r="BT146" s="58"/>
      <c r="BU146" s="58"/>
      <c r="BV146" s="58"/>
      <c r="BW146" s="58"/>
      <c r="BX146" s="58"/>
      <c r="BY146" s="58"/>
      <c r="BZ146" s="58"/>
      <c r="CA146" s="58"/>
      <c r="CB146" s="58"/>
      <c r="CC146" s="58"/>
      <c r="CD146" s="58"/>
      <c r="CE146" s="58"/>
    </row>
    <row r="147" spans="1:83" x14ac:dyDescent="0.25">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c r="BO147" s="58"/>
      <c r="BP147" s="58"/>
      <c r="BQ147" s="58"/>
      <c r="BR147" s="58"/>
      <c r="BS147" s="58"/>
      <c r="BT147" s="58"/>
      <c r="BU147" s="58"/>
      <c r="BV147" s="58"/>
      <c r="BW147" s="58"/>
      <c r="BX147" s="58"/>
      <c r="BY147" s="58"/>
      <c r="BZ147" s="58"/>
      <c r="CA147" s="58"/>
      <c r="CB147" s="58"/>
      <c r="CC147" s="58"/>
      <c r="CD147" s="58"/>
      <c r="CE147" s="58"/>
    </row>
    <row r="148" spans="1:83" x14ac:dyDescent="0.25">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c r="BO148" s="58"/>
      <c r="BP148" s="58"/>
      <c r="BQ148" s="58"/>
      <c r="BR148" s="58"/>
      <c r="BS148" s="58"/>
      <c r="BT148" s="58"/>
      <c r="BU148" s="58"/>
      <c r="BV148" s="58"/>
      <c r="BW148" s="58"/>
      <c r="BX148" s="58"/>
      <c r="BY148" s="58"/>
      <c r="BZ148" s="58"/>
      <c r="CA148" s="58"/>
      <c r="CB148" s="58"/>
      <c r="CC148" s="58"/>
      <c r="CD148" s="58"/>
      <c r="CE148" s="58"/>
    </row>
    <row r="149" spans="1:83" x14ac:dyDescent="0.25">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c r="BO149" s="58"/>
      <c r="BP149" s="58"/>
      <c r="BQ149" s="58"/>
      <c r="BR149" s="58"/>
      <c r="BS149" s="58"/>
      <c r="BT149" s="58"/>
      <c r="BU149" s="58"/>
      <c r="BV149" s="58"/>
      <c r="BW149" s="58"/>
      <c r="BX149" s="58"/>
      <c r="BY149" s="58"/>
      <c r="BZ149" s="58"/>
      <c r="CA149" s="58"/>
      <c r="CB149" s="58"/>
      <c r="CC149" s="58"/>
      <c r="CD149" s="58"/>
      <c r="CE149" s="58"/>
    </row>
    <row r="150" spans="1:83" x14ac:dyDescent="0.25">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c r="BO150" s="58"/>
      <c r="BP150" s="58"/>
      <c r="BQ150" s="58"/>
      <c r="BR150" s="58"/>
      <c r="BS150" s="58"/>
      <c r="BT150" s="58"/>
      <c r="BU150" s="58"/>
      <c r="BV150" s="58"/>
      <c r="BW150" s="58"/>
      <c r="BX150" s="58"/>
      <c r="BY150" s="58"/>
      <c r="BZ150" s="58"/>
      <c r="CA150" s="58"/>
      <c r="CB150" s="58"/>
      <c r="CC150" s="58"/>
      <c r="CD150" s="58"/>
      <c r="CE150" s="58"/>
    </row>
    <row r="151" spans="1:83" x14ac:dyDescent="0.25">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8"/>
      <c r="BR151" s="58"/>
      <c r="BS151" s="58"/>
      <c r="BT151" s="58"/>
      <c r="BU151" s="58"/>
      <c r="BV151" s="58"/>
      <c r="BW151" s="58"/>
      <c r="BX151" s="58"/>
      <c r="BY151" s="58"/>
      <c r="BZ151" s="58"/>
      <c r="CA151" s="58"/>
      <c r="CB151" s="58"/>
      <c r="CC151" s="58"/>
      <c r="CD151" s="58"/>
      <c r="CE151" s="58"/>
    </row>
    <row r="152" spans="1:83" x14ac:dyDescent="0.25">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8"/>
      <c r="BS152" s="58"/>
      <c r="BT152" s="58"/>
      <c r="BU152" s="58"/>
      <c r="BV152" s="58"/>
      <c r="BW152" s="58"/>
      <c r="BX152" s="58"/>
      <c r="BY152" s="58"/>
      <c r="BZ152" s="58"/>
      <c r="CA152" s="58"/>
      <c r="CB152" s="58"/>
      <c r="CC152" s="58"/>
      <c r="CD152" s="58"/>
      <c r="CE152" s="58"/>
    </row>
    <row r="153" spans="1:83" x14ac:dyDescent="0.25">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58"/>
      <c r="BM153" s="58"/>
      <c r="BN153" s="58"/>
      <c r="BO153" s="58"/>
      <c r="BP153" s="58"/>
      <c r="BQ153" s="58"/>
      <c r="BR153" s="58"/>
      <c r="BS153" s="58"/>
      <c r="BT153" s="58"/>
      <c r="BU153" s="58"/>
      <c r="BV153" s="58"/>
      <c r="BW153" s="58"/>
      <c r="BX153" s="58"/>
      <c r="BY153" s="58"/>
      <c r="BZ153" s="58"/>
      <c r="CA153" s="58"/>
      <c r="CB153" s="58"/>
      <c r="CC153" s="58"/>
      <c r="CD153" s="58"/>
      <c r="CE153" s="58"/>
    </row>
    <row r="154" spans="1:83" x14ac:dyDescent="0.25">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c r="BO154" s="58"/>
      <c r="BP154" s="58"/>
      <c r="BQ154" s="58"/>
      <c r="BR154" s="58"/>
      <c r="BS154" s="58"/>
      <c r="BT154" s="58"/>
      <c r="BU154" s="58"/>
      <c r="BV154" s="58"/>
      <c r="BW154" s="58"/>
      <c r="BX154" s="58"/>
      <c r="BY154" s="58"/>
      <c r="BZ154" s="58"/>
      <c r="CA154" s="58"/>
      <c r="CB154" s="58"/>
      <c r="CC154" s="58"/>
      <c r="CD154" s="58"/>
      <c r="CE154" s="58"/>
    </row>
    <row r="155" spans="1:83" x14ac:dyDescent="0.25">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c r="BO155" s="58"/>
      <c r="BP155" s="58"/>
      <c r="BQ155" s="58"/>
      <c r="BR155" s="58"/>
      <c r="BS155" s="58"/>
      <c r="BT155" s="58"/>
      <c r="BU155" s="58"/>
      <c r="BV155" s="58"/>
      <c r="BW155" s="58"/>
      <c r="BX155" s="58"/>
      <c r="BY155" s="58"/>
      <c r="BZ155" s="58"/>
      <c r="CA155" s="58"/>
      <c r="CB155" s="58"/>
      <c r="CC155" s="58"/>
      <c r="CD155" s="58"/>
      <c r="CE155" s="58"/>
    </row>
    <row r="156" spans="1:83" x14ac:dyDescent="0.25">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c r="BO156" s="58"/>
      <c r="BP156" s="58"/>
      <c r="BQ156" s="58"/>
      <c r="BR156" s="58"/>
      <c r="BS156" s="58"/>
      <c r="BT156" s="58"/>
      <c r="BU156" s="58"/>
      <c r="BV156" s="58"/>
      <c r="BW156" s="58"/>
      <c r="BX156" s="58"/>
      <c r="BY156" s="58"/>
      <c r="BZ156" s="58"/>
      <c r="CA156" s="58"/>
      <c r="CB156" s="58"/>
      <c r="CC156" s="58"/>
      <c r="CD156" s="58"/>
      <c r="CE156" s="58"/>
    </row>
    <row r="157" spans="1:83" x14ac:dyDescent="0.25">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c r="BO157" s="58"/>
      <c r="BP157" s="58"/>
      <c r="BQ157" s="58"/>
      <c r="BR157" s="58"/>
      <c r="BS157" s="58"/>
      <c r="BT157" s="58"/>
      <c r="BU157" s="58"/>
      <c r="BV157" s="58"/>
      <c r="BW157" s="58"/>
      <c r="BX157" s="58"/>
      <c r="BY157" s="58"/>
      <c r="BZ157" s="58"/>
      <c r="CA157" s="58"/>
      <c r="CB157" s="58"/>
      <c r="CC157" s="58"/>
      <c r="CD157" s="58"/>
      <c r="CE157" s="58"/>
    </row>
    <row r="158" spans="1:83" x14ac:dyDescent="0.25">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c r="BO158" s="58"/>
      <c r="BP158" s="58"/>
      <c r="BQ158" s="58"/>
      <c r="BR158" s="58"/>
      <c r="BS158" s="58"/>
      <c r="BT158" s="58"/>
      <c r="BU158" s="58"/>
      <c r="BV158" s="58"/>
      <c r="BW158" s="58"/>
      <c r="BX158" s="58"/>
      <c r="BY158" s="58"/>
      <c r="BZ158" s="58"/>
      <c r="CA158" s="58"/>
      <c r="CB158" s="58"/>
      <c r="CC158" s="58"/>
      <c r="CD158" s="58"/>
      <c r="CE158" s="58"/>
    </row>
    <row r="159" spans="1:83" x14ac:dyDescent="0.25">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c r="BO159" s="58"/>
      <c r="BP159" s="58"/>
      <c r="BQ159" s="58"/>
      <c r="BR159" s="58"/>
      <c r="BS159" s="58"/>
      <c r="BT159" s="58"/>
      <c r="BU159" s="58"/>
      <c r="BV159" s="58"/>
      <c r="BW159" s="58"/>
      <c r="BX159" s="58"/>
      <c r="BY159" s="58"/>
      <c r="BZ159" s="58"/>
      <c r="CA159" s="58"/>
      <c r="CB159" s="58"/>
      <c r="CC159" s="58"/>
      <c r="CD159" s="58"/>
      <c r="CE159" s="58"/>
    </row>
    <row r="160" spans="1:83" x14ac:dyDescent="0.25">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c r="BO160" s="58"/>
      <c r="BP160" s="58"/>
      <c r="BQ160" s="58"/>
      <c r="BR160" s="58"/>
      <c r="BS160" s="58"/>
      <c r="BT160" s="58"/>
      <c r="BU160" s="58"/>
      <c r="BV160" s="58"/>
      <c r="BW160" s="58"/>
      <c r="BX160" s="58"/>
      <c r="BY160" s="58"/>
      <c r="BZ160" s="58"/>
      <c r="CA160" s="58"/>
      <c r="CB160" s="58"/>
      <c r="CC160" s="58"/>
      <c r="CD160" s="58"/>
      <c r="CE160" s="58"/>
    </row>
    <row r="161" spans="1:83" x14ac:dyDescent="0.25">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c r="BI161" s="58"/>
      <c r="BJ161" s="58"/>
      <c r="BK161" s="58"/>
      <c r="BL161" s="58"/>
      <c r="BM161" s="58"/>
      <c r="BN161" s="58"/>
      <c r="BO161" s="58"/>
      <c r="BP161" s="58"/>
      <c r="BQ161" s="58"/>
      <c r="BR161" s="58"/>
      <c r="BS161" s="58"/>
      <c r="BT161" s="58"/>
      <c r="BU161" s="58"/>
      <c r="BV161" s="58"/>
      <c r="BW161" s="58"/>
      <c r="BX161" s="58"/>
      <c r="BY161" s="58"/>
      <c r="BZ161" s="58"/>
      <c r="CA161" s="58"/>
      <c r="CB161" s="58"/>
      <c r="CC161" s="58"/>
      <c r="CD161" s="58"/>
      <c r="CE161" s="58"/>
    </row>
    <row r="162" spans="1:83" x14ac:dyDescent="0.25">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c r="BI162" s="58"/>
      <c r="BJ162" s="58"/>
      <c r="BK162" s="58"/>
      <c r="BL162" s="58"/>
      <c r="BM162" s="58"/>
      <c r="BN162" s="58"/>
      <c r="BO162" s="58"/>
      <c r="BP162" s="58"/>
      <c r="BQ162" s="58"/>
      <c r="BR162" s="58"/>
      <c r="BS162" s="58"/>
      <c r="BT162" s="58"/>
      <c r="BU162" s="58"/>
      <c r="BV162" s="58"/>
      <c r="BW162" s="58"/>
      <c r="BX162" s="58"/>
      <c r="BY162" s="58"/>
      <c r="BZ162" s="58"/>
      <c r="CA162" s="58"/>
      <c r="CB162" s="58"/>
      <c r="CC162" s="58"/>
      <c r="CD162" s="58"/>
      <c r="CE162" s="58"/>
    </row>
    <row r="163" spans="1:83" x14ac:dyDescent="0.25">
      <c r="A163" s="58"/>
      <c r="B163" s="58"/>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c r="BD163" s="58"/>
      <c r="BE163" s="58"/>
      <c r="BF163" s="58"/>
      <c r="BG163" s="58"/>
      <c r="BH163" s="58"/>
      <c r="BI163" s="58"/>
      <c r="BJ163" s="58"/>
      <c r="BK163" s="58"/>
      <c r="BL163" s="58"/>
      <c r="BM163" s="58"/>
      <c r="BN163" s="58"/>
      <c r="BO163" s="58"/>
      <c r="BP163" s="58"/>
      <c r="BQ163" s="58"/>
      <c r="BR163" s="58"/>
      <c r="BS163" s="58"/>
      <c r="BT163" s="58"/>
      <c r="BU163" s="58"/>
      <c r="BV163" s="58"/>
      <c r="BW163" s="58"/>
      <c r="BX163" s="58"/>
      <c r="BY163" s="58"/>
      <c r="BZ163" s="58"/>
      <c r="CA163" s="58"/>
      <c r="CB163" s="58"/>
      <c r="CC163" s="58"/>
      <c r="CD163" s="58"/>
      <c r="CE163" s="58"/>
    </row>
    <row r="164" spans="1:83" x14ac:dyDescent="0.25">
      <c r="A164" s="58"/>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c r="BI164" s="58"/>
      <c r="BJ164" s="58"/>
      <c r="BK164" s="58"/>
      <c r="BL164" s="58"/>
      <c r="BM164" s="58"/>
      <c r="BN164" s="58"/>
      <c r="BO164" s="58"/>
      <c r="BP164" s="58"/>
      <c r="BQ164" s="58"/>
      <c r="BR164" s="58"/>
      <c r="BS164" s="58"/>
      <c r="BT164" s="58"/>
      <c r="BU164" s="58"/>
      <c r="BV164" s="58"/>
      <c r="BW164" s="58"/>
      <c r="BX164" s="58"/>
      <c r="BY164" s="58"/>
      <c r="BZ164" s="58"/>
      <c r="CA164" s="58"/>
      <c r="CB164" s="58"/>
      <c r="CC164" s="58"/>
      <c r="CD164" s="58"/>
      <c r="CE164" s="58"/>
    </row>
    <row r="165" spans="1:83" x14ac:dyDescent="0.25">
      <c r="A165" s="58"/>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c r="BD165" s="58"/>
      <c r="BE165" s="58"/>
      <c r="BF165" s="58"/>
      <c r="BG165" s="58"/>
      <c r="BH165" s="58"/>
      <c r="BI165" s="58"/>
      <c r="BJ165" s="58"/>
      <c r="BK165" s="58"/>
      <c r="BL165" s="58"/>
      <c r="BM165" s="58"/>
      <c r="BN165" s="58"/>
      <c r="BO165" s="58"/>
      <c r="BP165" s="58"/>
      <c r="BQ165" s="58"/>
      <c r="BR165" s="58"/>
      <c r="BS165" s="58"/>
      <c r="BT165" s="58"/>
      <c r="BU165" s="58"/>
      <c r="BV165" s="58"/>
      <c r="BW165" s="58"/>
      <c r="BX165" s="58"/>
      <c r="BY165" s="58"/>
      <c r="BZ165" s="58"/>
      <c r="CA165" s="58"/>
      <c r="CB165" s="58"/>
      <c r="CC165" s="58"/>
      <c r="CD165" s="58"/>
      <c r="CE165" s="58"/>
    </row>
    <row r="166" spans="1:83" x14ac:dyDescent="0.25">
      <c r="A166" s="58"/>
      <c r="B166" s="58"/>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c r="AS166" s="58"/>
      <c r="AT166" s="58"/>
      <c r="AU166" s="58"/>
      <c r="AV166" s="58"/>
      <c r="AW166" s="58"/>
      <c r="AX166" s="58"/>
      <c r="AY166" s="58"/>
      <c r="AZ166" s="58"/>
      <c r="BA166" s="58"/>
      <c r="BB166" s="58"/>
      <c r="BC166" s="58"/>
      <c r="BD166" s="58"/>
      <c r="BE166" s="58"/>
      <c r="BF166" s="58"/>
      <c r="BG166" s="58"/>
      <c r="BH166" s="58"/>
      <c r="BI166" s="58"/>
      <c r="BJ166" s="58"/>
      <c r="BK166" s="58"/>
      <c r="BL166" s="58"/>
      <c r="BM166" s="58"/>
      <c r="BN166" s="58"/>
      <c r="BO166" s="58"/>
      <c r="BP166" s="58"/>
      <c r="BQ166" s="58"/>
      <c r="BR166" s="58"/>
      <c r="BS166" s="58"/>
      <c r="BT166" s="58"/>
      <c r="BU166" s="58"/>
      <c r="BV166" s="58"/>
      <c r="BW166" s="58"/>
      <c r="BX166" s="58"/>
      <c r="BY166" s="58"/>
      <c r="BZ166" s="58"/>
      <c r="CA166" s="58"/>
      <c r="CB166" s="58"/>
      <c r="CC166" s="58"/>
      <c r="CD166" s="58"/>
      <c r="CE166" s="58"/>
    </row>
    <row r="167" spans="1:83" x14ac:dyDescent="0.25">
      <c r="A167" s="58"/>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8"/>
      <c r="AK167" s="58"/>
      <c r="AL167" s="58"/>
      <c r="AM167" s="58"/>
      <c r="AN167" s="58"/>
      <c r="AO167" s="58"/>
      <c r="AP167" s="58"/>
      <c r="AQ167" s="58"/>
      <c r="AR167" s="58"/>
      <c r="AS167" s="58"/>
      <c r="AT167" s="58"/>
      <c r="AU167" s="58"/>
      <c r="AV167" s="58"/>
      <c r="AW167" s="58"/>
      <c r="AX167" s="58"/>
      <c r="AY167" s="58"/>
      <c r="AZ167" s="58"/>
      <c r="BA167" s="58"/>
      <c r="BB167" s="58"/>
      <c r="BC167" s="58"/>
      <c r="BD167" s="58"/>
      <c r="BE167" s="58"/>
      <c r="BF167" s="58"/>
      <c r="BG167" s="58"/>
      <c r="BH167" s="58"/>
      <c r="BI167" s="58"/>
      <c r="BJ167" s="58"/>
      <c r="BK167" s="58"/>
      <c r="BL167" s="58"/>
      <c r="BM167" s="58"/>
      <c r="BN167" s="58"/>
      <c r="BO167" s="58"/>
      <c r="BP167" s="58"/>
      <c r="BQ167" s="58"/>
      <c r="BR167" s="58"/>
      <c r="BS167" s="58"/>
      <c r="BT167" s="58"/>
      <c r="BU167" s="58"/>
      <c r="BV167" s="58"/>
      <c r="BW167" s="58"/>
      <c r="BX167" s="58"/>
      <c r="BY167" s="58"/>
      <c r="BZ167" s="58"/>
      <c r="CA167" s="58"/>
      <c r="CB167" s="58"/>
      <c r="CC167" s="58"/>
      <c r="CD167" s="58"/>
      <c r="CE167" s="58"/>
    </row>
    <row r="168" spans="1:83" x14ac:dyDescent="0.25">
      <c r="A168" s="58"/>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58"/>
      <c r="BN168" s="58"/>
      <c r="BO168" s="58"/>
      <c r="BP168" s="58"/>
      <c r="BQ168" s="58"/>
      <c r="BR168" s="58"/>
      <c r="BS168" s="58"/>
      <c r="BT168" s="58"/>
      <c r="BU168" s="58"/>
      <c r="BV168" s="58"/>
      <c r="BW168" s="58"/>
      <c r="BX168" s="58"/>
      <c r="BY168" s="58"/>
      <c r="BZ168" s="58"/>
      <c r="CA168" s="58"/>
      <c r="CB168" s="58"/>
      <c r="CC168" s="58"/>
      <c r="CD168" s="58"/>
      <c r="CE168" s="58"/>
    </row>
    <row r="169" spans="1:83" x14ac:dyDescent="0.25">
      <c r="A169" s="58"/>
      <c r="B169" s="58"/>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c r="AM169" s="58"/>
      <c r="AN169" s="58"/>
      <c r="AO169" s="58"/>
      <c r="AP169" s="58"/>
      <c r="AQ169" s="58"/>
      <c r="AR169" s="58"/>
      <c r="AS169" s="58"/>
      <c r="AT169" s="58"/>
      <c r="AU169" s="58"/>
      <c r="AV169" s="58"/>
      <c r="AW169" s="58"/>
      <c r="AX169" s="58"/>
      <c r="AY169" s="58"/>
      <c r="AZ169" s="58"/>
      <c r="BA169" s="58"/>
      <c r="BB169" s="58"/>
      <c r="BC169" s="58"/>
      <c r="BD169" s="58"/>
      <c r="BE169" s="58"/>
      <c r="BF169" s="58"/>
      <c r="BG169" s="58"/>
      <c r="BH169" s="58"/>
      <c r="BI169" s="58"/>
      <c r="BJ169" s="58"/>
      <c r="BK169" s="58"/>
      <c r="BL169" s="58"/>
      <c r="BM169" s="58"/>
      <c r="BN169" s="58"/>
      <c r="BO169" s="58"/>
      <c r="BP169" s="58"/>
      <c r="BQ169" s="58"/>
      <c r="BR169" s="58"/>
      <c r="BS169" s="58"/>
      <c r="BT169" s="58"/>
      <c r="BU169" s="58"/>
      <c r="BV169" s="58"/>
      <c r="BW169" s="58"/>
      <c r="BX169" s="58"/>
      <c r="BY169" s="58"/>
      <c r="BZ169" s="58"/>
      <c r="CA169" s="58"/>
      <c r="CB169" s="58"/>
      <c r="CC169" s="58"/>
      <c r="CD169" s="58"/>
      <c r="CE169" s="58"/>
    </row>
    <row r="170" spans="1:83" x14ac:dyDescent="0.25">
      <c r="A170" s="58"/>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c r="BC170" s="58"/>
      <c r="BD170" s="58"/>
      <c r="BE170" s="58"/>
      <c r="BF170" s="58"/>
      <c r="BG170" s="58"/>
      <c r="BH170" s="58"/>
      <c r="BI170" s="58"/>
      <c r="BJ170" s="58"/>
      <c r="BK170" s="58"/>
      <c r="BL170" s="58"/>
      <c r="BM170" s="58"/>
      <c r="BN170" s="58"/>
      <c r="BO170" s="58"/>
      <c r="BP170" s="58"/>
      <c r="BQ170" s="58"/>
      <c r="BR170" s="58"/>
      <c r="BS170" s="58"/>
      <c r="BT170" s="58"/>
      <c r="BU170" s="58"/>
      <c r="BV170" s="58"/>
      <c r="BW170" s="58"/>
      <c r="BX170" s="58"/>
      <c r="BY170" s="58"/>
      <c r="BZ170" s="58"/>
      <c r="CA170" s="58"/>
      <c r="CB170" s="58"/>
      <c r="CC170" s="58"/>
      <c r="CD170" s="58"/>
      <c r="CE170" s="58"/>
    </row>
    <row r="171" spans="1:83" x14ac:dyDescent="0.25">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c r="BC171" s="58"/>
      <c r="BD171" s="58"/>
      <c r="BE171" s="58"/>
      <c r="BF171" s="58"/>
      <c r="BG171" s="58"/>
      <c r="BH171" s="58"/>
      <c r="BI171" s="58"/>
      <c r="BJ171" s="58"/>
      <c r="BK171" s="58"/>
      <c r="BL171" s="58"/>
      <c r="BM171" s="58"/>
      <c r="BN171" s="58"/>
      <c r="BO171" s="58"/>
      <c r="BP171" s="58"/>
      <c r="BQ171" s="58"/>
      <c r="BR171" s="58"/>
      <c r="BS171" s="58"/>
      <c r="BT171" s="58"/>
      <c r="BU171" s="58"/>
      <c r="BV171" s="58"/>
      <c r="BW171" s="58"/>
      <c r="BX171" s="58"/>
      <c r="BY171" s="58"/>
      <c r="BZ171" s="58"/>
      <c r="CA171" s="58"/>
      <c r="CB171" s="58"/>
      <c r="CC171" s="58"/>
      <c r="CD171" s="58"/>
      <c r="CE171" s="58"/>
    </row>
    <row r="172" spans="1:83" x14ac:dyDescent="0.25">
      <c r="A172" s="58"/>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c r="BC172" s="58"/>
      <c r="BD172" s="58"/>
      <c r="BE172" s="58"/>
      <c r="BF172" s="58"/>
      <c r="BG172" s="58"/>
      <c r="BH172" s="58"/>
      <c r="BI172" s="58"/>
      <c r="BJ172" s="58"/>
      <c r="BK172" s="58"/>
      <c r="BL172" s="58"/>
      <c r="BM172" s="58"/>
      <c r="BN172" s="58"/>
      <c r="BO172" s="58"/>
      <c r="BP172" s="58"/>
      <c r="BQ172" s="58"/>
      <c r="BR172" s="58"/>
      <c r="BS172" s="58"/>
      <c r="BT172" s="58"/>
      <c r="BU172" s="58"/>
      <c r="BV172" s="58"/>
      <c r="BW172" s="58"/>
      <c r="BX172" s="58"/>
      <c r="BY172" s="58"/>
      <c r="BZ172" s="58"/>
      <c r="CA172" s="58"/>
      <c r="CB172" s="58"/>
      <c r="CC172" s="58"/>
      <c r="CD172" s="58"/>
      <c r="CE172" s="58"/>
    </row>
    <row r="173" spans="1:83" x14ac:dyDescent="0.25">
      <c r="A173" s="58"/>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c r="AM173" s="58"/>
      <c r="AN173" s="58"/>
      <c r="AO173" s="58"/>
      <c r="AP173" s="58"/>
      <c r="AQ173" s="58"/>
      <c r="AR173" s="58"/>
      <c r="AS173" s="58"/>
      <c r="AT173" s="58"/>
      <c r="AU173" s="58"/>
      <c r="AV173" s="58"/>
      <c r="AW173" s="58"/>
      <c r="AX173" s="58"/>
      <c r="AY173" s="58"/>
      <c r="AZ173" s="58"/>
      <c r="BA173" s="58"/>
      <c r="BB173" s="58"/>
      <c r="BC173" s="58"/>
      <c r="BD173" s="58"/>
      <c r="BE173" s="58"/>
      <c r="BF173" s="58"/>
      <c r="BG173" s="58"/>
      <c r="BH173" s="58"/>
      <c r="BI173" s="58"/>
      <c r="BJ173" s="58"/>
      <c r="BK173" s="58"/>
      <c r="BL173" s="58"/>
      <c r="BM173" s="58"/>
      <c r="BN173" s="58"/>
      <c r="BO173" s="58"/>
      <c r="BP173" s="58"/>
      <c r="BQ173" s="58"/>
      <c r="BR173" s="58"/>
      <c r="BS173" s="58"/>
      <c r="BT173" s="58"/>
      <c r="BU173" s="58"/>
      <c r="BV173" s="58"/>
      <c r="BW173" s="58"/>
      <c r="BX173" s="58"/>
      <c r="BY173" s="58"/>
      <c r="BZ173" s="58"/>
      <c r="CA173" s="58"/>
      <c r="CB173" s="58"/>
      <c r="CC173" s="58"/>
      <c r="CD173" s="58"/>
      <c r="CE173" s="58"/>
    </row>
    <row r="174" spans="1:83" x14ac:dyDescent="0.25">
      <c r="A174" s="58"/>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c r="AS174" s="58"/>
      <c r="AT174" s="58"/>
      <c r="AU174" s="58"/>
      <c r="AV174" s="58"/>
      <c r="AW174" s="58"/>
      <c r="AX174" s="58"/>
      <c r="AY174" s="58"/>
      <c r="AZ174" s="58"/>
      <c r="BA174" s="58"/>
      <c r="BB174" s="58"/>
      <c r="BC174" s="58"/>
      <c r="BD174" s="58"/>
      <c r="BE174" s="58"/>
      <c r="BF174" s="58"/>
      <c r="BG174" s="58"/>
      <c r="BH174" s="58"/>
      <c r="BI174" s="58"/>
      <c r="BJ174" s="58"/>
      <c r="BK174" s="58"/>
      <c r="BL174" s="58"/>
      <c r="BM174" s="58"/>
      <c r="BN174" s="58"/>
      <c r="BO174" s="58"/>
      <c r="BP174" s="58"/>
      <c r="BQ174" s="58"/>
      <c r="BR174" s="58"/>
      <c r="BS174" s="58"/>
      <c r="BT174" s="58"/>
      <c r="BU174" s="58"/>
      <c r="BV174" s="58"/>
      <c r="BW174" s="58"/>
      <c r="BX174" s="58"/>
      <c r="BY174" s="58"/>
      <c r="BZ174" s="58"/>
      <c r="CA174" s="58"/>
      <c r="CB174" s="58"/>
      <c r="CC174" s="58"/>
      <c r="CD174" s="58"/>
      <c r="CE174" s="58"/>
    </row>
    <row r="175" spans="1:83" x14ac:dyDescent="0.25">
      <c r="A175" s="58"/>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8"/>
      <c r="BR175" s="58"/>
      <c r="BS175" s="58"/>
      <c r="BT175" s="58"/>
      <c r="BU175" s="58"/>
      <c r="BV175" s="58"/>
      <c r="BW175" s="58"/>
      <c r="BX175" s="58"/>
      <c r="BY175" s="58"/>
      <c r="BZ175" s="58"/>
      <c r="CA175" s="58"/>
      <c r="CB175" s="58"/>
      <c r="CC175" s="58"/>
      <c r="CD175" s="58"/>
      <c r="CE175" s="58"/>
    </row>
    <row r="176" spans="1:83" x14ac:dyDescent="0.25">
      <c r="A176" s="58"/>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8"/>
      <c r="AW176" s="58"/>
      <c r="AX176" s="58"/>
      <c r="AY176" s="58"/>
      <c r="AZ176" s="58"/>
      <c r="BA176" s="58"/>
      <c r="BB176" s="58"/>
      <c r="BC176" s="58"/>
      <c r="BD176" s="58"/>
      <c r="BE176" s="58"/>
      <c r="BF176" s="58"/>
      <c r="BG176" s="58"/>
      <c r="BH176" s="58"/>
      <c r="BI176" s="58"/>
      <c r="BJ176" s="58"/>
      <c r="BK176" s="58"/>
      <c r="BL176" s="58"/>
      <c r="BM176" s="58"/>
      <c r="BN176" s="58"/>
      <c r="BO176" s="58"/>
      <c r="BP176" s="58"/>
      <c r="BQ176" s="58"/>
      <c r="BR176" s="58"/>
      <c r="BS176" s="58"/>
      <c r="BT176" s="58"/>
      <c r="BU176" s="58"/>
      <c r="BV176" s="58"/>
      <c r="BW176" s="58"/>
      <c r="BX176" s="58"/>
      <c r="BY176" s="58"/>
      <c r="BZ176" s="58"/>
      <c r="CA176" s="58"/>
      <c r="CB176" s="58"/>
      <c r="CC176" s="58"/>
      <c r="CD176" s="58"/>
      <c r="CE176" s="58"/>
    </row>
    <row r="177" spans="1:83" x14ac:dyDescent="0.25">
      <c r="A177" s="58"/>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c r="AS177" s="58"/>
      <c r="AT177" s="58"/>
      <c r="AU177" s="58"/>
      <c r="AV177" s="58"/>
      <c r="AW177" s="58"/>
      <c r="AX177" s="58"/>
      <c r="AY177" s="58"/>
      <c r="AZ177" s="58"/>
      <c r="BA177" s="58"/>
      <c r="BB177" s="58"/>
      <c r="BC177" s="58"/>
      <c r="BD177" s="58"/>
      <c r="BE177" s="58"/>
      <c r="BF177" s="58"/>
      <c r="BG177" s="58"/>
      <c r="BH177" s="58"/>
      <c r="BI177" s="58"/>
      <c r="BJ177" s="58"/>
      <c r="BK177" s="58"/>
      <c r="BL177" s="58"/>
      <c r="BM177" s="58"/>
      <c r="BN177" s="58"/>
      <c r="BO177" s="58"/>
      <c r="BP177" s="58"/>
      <c r="BQ177" s="58"/>
      <c r="BR177" s="58"/>
      <c r="BS177" s="58"/>
      <c r="BT177" s="58"/>
      <c r="BU177" s="58"/>
      <c r="BV177" s="58"/>
      <c r="BW177" s="58"/>
      <c r="BX177" s="58"/>
      <c r="BY177" s="58"/>
      <c r="BZ177" s="58"/>
      <c r="CA177" s="58"/>
      <c r="CB177" s="58"/>
      <c r="CC177" s="58"/>
      <c r="CD177" s="58"/>
      <c r="CE177" s="58"/>
    </row>
    <row r="178" spans="1:83" x14ac:dyDescent="0.25">
      <c r="A178" s="58"/>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c r="AS178" s="58"/>
      <c r="AT178" s="58"/>
      <c r="AU178" s="58"/>
      <c r="AV178" s="58"/>
      <c r="AW178" s="58"/>
      <c r="AX178" s="58"/>
      <c r="AY178" s="58"/>
      <c r="AZ178" s="58"/>
      <c r="BA178" s="58"/>
      <c r="BB178" s="58"/>
      <c r="BC178" s="58"/>
      <c r="BD178" s="58"/>
      <c r="BE178" s="58"/>
      <c r="BF178" s="58"/>
      <c r="BG178" s="58"/>
      <c r="BH178" s="58"/>
      <c r="BI178" s="58"/>
      <c r="BJ178" s="58"/>
      <c r="BK178" s="58"/>
      <c r="BL178" s="58"/>
      <c r="BM178" s="58"/>
      <c r="BN178" s="58"/>
      <c r="BO178" s="58"/>
      <c r="BP178" s="58"/>
      <c r="BQ178" s="58"/>
      <c r="BR178" s="58"/>
      <c r="BS178" s="58"/>
      <c r="BT178" s="58"/>
      <c r="BU178" s="58"/>
      <c r="BV178" s="58"/>
      <c r="BW178" s="58"/>
      <c r="BX178" s="58"/>
      <c r="BY178" s="58"/>
      <c r="BZ178" s="58"/>
      <c r="CA178" s="58"/>
      <c r="CB178" s="58"/>
      <c r="CC178" s="58"/>
      <c r="CD178" s="58"/>
      <c r="CE178" s="58"/>
    </row>
    <row r="179" spans="1:83" x14ac:dyDescent="0.25">
      <c r="A179" s="58"/>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8"/>
      <c r="AK179" s="58"/>
      <c r="AL179" s="58"/>
      <c r="AM179" s="58"/>
      <c r="AN179" s="58"/>
      <c r="AO179" s="58"/>
      <c r="AP179" s="58"/>
      <c r="AQ179" s="58"/>
      <c r="AR179" s="58"/>
      <c r="AS179" s="58"/>
      <c r="AT179" s="58"/>
      <c r="AU179" s="58"/>
      <c r="AV179" s="58"/>
      <c r="AW179" s="58"/>
      <c r="AX179" s="58"/>
      <c r="AY179" s="58"/>
      <c r="AZ179" s="58"/>
      <c r="BA179" s="58"/>
      <c r="BB179" s="58"/>
      <c r="BC179" s="58"/>
      <c r="BD179" s="58"/>
      <c r="BE179" s="58"/>
      <c r="BF179" s="58"/>
      <c r="BG179" s="58"/>
      <c r="BH179" s="58"/>
      <c r="BI179" s="58"/>
      <c r="BJ179" s="58"/>
      <c r="BK179" s="58"/>
      <c r="BL179" s="58"/>
      <c r="BM179" s="58"/>
      <c r="BN179" s="58"/>
      <c r="BO179" s="58"/>
      <c r="BP179" s="58"/>
      <c r="BQ179" s="58"/>
      <c r="BR179" s="58"/>
      <c r="BS179" s="58"/>
      <c r="BT179" s="58"/>
      <c r="BU179" s="58"/>
      <c r="BV179" s="58"/>
      <c r="BW179" s="58"/>
      <c r="BX179" s="58"/>
      <c r="BY179" s="58"/>
      <c r="BZ179" s="58"/>
      <c r="CA179" s="58"/>
      <c r="CB179" s="58"/>
      <c r="CC179" s="58"/>
      <c r="CD179" s="58"/>
      <c r="CE179" s="58"/>
    </row>
    <row r="180" spans="1:83" x14ac:dyDescent="0.25">
      <c r="A180" s="58"/>
      <c r="B180" s="58"/>
      <c r="C180" s="58"/>
      <c r="D180" s="58"/>
      <c r="E180" s="58"/>
      <c r="F180" s="58"/>
      <c r="G180" s="58"/>
      <c r="H180" s="58"/>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8"/>
      <c r="AK180" s="58"/>
      <c r="AL180" s="58"/>
      <c r="AM180" s="58"/>
      <c r="AN180" s="58"/>
      <c r="AO180" s="58"/>
      <c r="AP180" s="58"/>
      <c r="AQ180" s="58"/>
      <c r="AR180" s="58"/>
      <c r="AS180" s="58"/>
      <c r="AT180" s="58"/>
      <c r="AU180" s="58"/>
      <c r="AV180" s="58"/>
      <c r="AW180" s="58"/>
      <c r="AX180" s="58"/>
      <c r="AY180" s="58"/>
      <c r="AZ180" s="58"/>
      <c r="BA180" s="58"/>
      <c r="BB180" s="58"/>
      <c r="BC180" s="58"/>
      <c r="BD180" s="58"/>
      <c r="BE180" s="58"/>
      <c r="BF180" s="58"/>
      <c r="BG180" s="58"/>
      <c r="BH180" s="58"/>
      <c r="BI180" s="58"/>
      <c r="BJ180" s="58"/>
      <c r="BK180" s="58"/>
      <c r="BL180" s="58"/>
      <c r="BM180" s="58"/>
      <c r="BN180" s="58"/>
      <c r="BO180" s="58"/>
      <c r="BP180" s="58"/>
      <c r="BQ180" s="58"/>
      <c r="BR180" s="58"/>
      <c r="BS180" s="58"/>
      <c r="BT180" s="58"/>
      <c r="BU180" s="58"/>
      <c r="BV180" s="58"/>
      <c r="BW180" s="58"/>
      <c r="BX180" s="58"/>
      <c r="BY180" s="58"/>
      <c r="BZ180" s="58"/>
      <c r="CA180" s="58"/>
      <c r="CB180" s="58"/>
      <c r="CC180" s="58"/>
      <c r="CD180" s="58"/>
      <c r="CE180" s="58"/>
    </row>
    <row r="181" spans="1:83" x14ac:dyDescent="0.25">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c r="AM181" s="58"/>
      <c r="AN181" s="58"/>
      <c r="AO181" s="58"/>
      <c r="AP181" s="58"/>
      <c r="AQ181" s="58"/>
      <c r="AR181" s="58"/>
      <c r="AS181" s="58"/>
      <c r="AT181" s="58"/>
      <c r="AU181" s="58"/>
      <c r="AV181" s="58"/>
      <c r="AW181" s="58"/>
      <c r="AX181" s="58"/>
      <c r="AY181" s="58"/>
      <c r="AZ181" s="58"/>
      <c r="BA181" s="58"/>
      <c r="BB181" s="58"/>
      <c r="BC181" s="58"/>
      <c r="BD181" s="58"/>
      <c r="BE181" s="58"/>
      <c r="BF181" s="58"/>
      <c r="BG181" s="58"/>
      <c r="BH181" s="58"/>
      <c r="BI181" s="58"/>
      <c r="BJ181" s="58"/>
      <c r="BK181" s="58"/>
      <c r="BL181" s="58"/>
      <c r="BM181" s="58"/>
      <c r="BN181" s="58"/>
      <c r="BO181" s="58"/>
      <c r="BP181" s="58"/>
      <c r="BQ181" s="58"/>
      <c r="BR181" s="58"/>
      <c r="BS181" s="58"/>
      <c r="BT181" s="58"/>
      <c r="BU181" s="58"/>
      <c r="BV181" s="58"/>
      <c r="BW181" s="58"/>
      <c r="BX181" s="58"/>
      <c r="BY181" s="58"/>
      <c r="BZ181" s="58"/>
      <c r="CA181" s="58"/>
      <c r="CB181" s="58"/>
      <c r="CC181" s="58"/>
      <c r="CD181" s="58"/>
      <c r="CE181" s="58"/>
    </row>
    <row r="182" spans="1:83" x14ac:dyDescent="0.25">
      <c r="B182" s="58"/>
      <c r="C182" s="58"/>
      <c r="D182" s="58"/>
      <c r="E182" s="58"/>
      <c r="F182" s="58"/>
      <c r="G182" s="58"/>
      <c r="H182" s="58"/>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8"/>
      <c r="AK182" s="58"/>
      <c r="AL182" s="58"/>
      <c r="AM182" s="58"/>
      <c r="AN182" s="58"/>
      <c r="AO182" s="58"/>
      <c r="AP182" s="58"/>
      <c r="AQ182" s="58"/>
      <c r="AR182" s="58"/>
      <c r="AS182" s="58"/>
      <c r="AT182" s="58"/>
      <c r="AU182" s="58"/>
      <c r="AV182" s="58"/>
      <c r="AW182" s="58"/>
      <c r="AX182" s="58"/>
      <c r="AY182" s="58"/>
      <c r="AZ182" s="58"/>
      <c r="BA182" s="58"/>
      <c r="BB182" s="58"/>
      <c r="BC182" s="58"/>
      <c r="BD182" s="58"/>
      <c r="BE182" s="58"/>
      <c r="BF182" s="58"/>
      <c r="BG182" s="58"/>
      <c r="BH182" s="58"/>
      <c r="BI182" s="58"/>
      <c r="BJ182" s="58"/>
      <c r="BK182" s="58"/>
      <c r="BL182" s="58"/>
      <c r="BM182" s="58"/>
      <c r="BN182" s="58"/>
      <c r="BO182" s="58"/>
      <c r="BP182" s="58"/>
      <c r="BQ182" s="58"/>
      <c r="BR182" s="58"/>
      <c r="BS182" s="58"/>
      <c r="BT182" s="58"/>
      <c r="BU182" s="58"/>
      <c r="BV182" s="58"/>
      <c r="BW182" s="58"/>
      <c r="BX182" s="58"/>
      <c r="BY182" s="58"/>
      <c r="BZ182" s="58"/>
      <c r="CA182" s="58"/>
      <c r="CB182" s="58"/>
      <c r="CC182" s="58"/>
      <c r="CD182" s="58"/>
      <c r="CE182" s="58"/>
    </row>
    <row r="183" spans="1:83" x14ac:dyDescent="0.25">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c r="AS183" s="58"/>
      <c r="AT183" s="58"/>
      <c r="AU183" s="58"/>
      <c r="AV183" s="58"/>
      <c r="AW183" s="58"/>
      <c r="AX183" s="58"/>
      <c r="AY183" s="58"/>
      <c r="AZ183" s="58"/>
      <c r="BA183" s="58"/>
      <c r="BB183" s="58"/>
      <c r="BC183" s="58"/>
      <c r="BD183" s="58"/>
      <c r="BE183" s="58"/>
      <c r="BF183" s="58"/>
      <c r="BG183" s="58"/>
      <c r="BH183" s="58"/>
      <c r="BI183" s="58"/>
      <c r="BJ183" s="58"/>
      <c r="BK183" s="58"/>
      <c r="BL183" s="58"/>
      <c r="BM183" s="58"/>
      <c r="BN183" s="58"/>
      <c r="BO183" s="58"/>
      <c r="BP183" s="58"/>
      <c r="BQ183" s="58"/>
      <c r="BR183" s="58"/>
      <c r="BS183" s="58"/>
      <c r="BT183" s="58"/>
      <c r="BU183" s="58"/>
      <c r="BV183" s="58"/>
      <c r="BW183" s="58"/>
      <c r="BX183" s="58"/>
      <c r="BY183" s="58"/>
      <c r="BZ183" s="58"/>
      <c r="CA183" s="58"/>
      <c r="CB183" s="58"/>
      <c r="CC183" s="58"/>
      <c r="CD183" s="58"/>
      <c r="CE183" s="58"/>
    </row>
    <row r="184" spans="1:83" x14ac:dyDescent="0.25">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c r="BD184" s="58"/>
      <c r="BE184" s="58"/>
      <c r="BF184" s="58"/>
      <c r="BG184" s="58"/>
      <c r="BH184" s="58"/>
      <c r="BI184" s="58"/>
      <c r="BJ184" s="58"/>
      <c r="BK184" s="58"/>
      <c r="BL184" s="58"/>
      <c r="BM184" s="58"/>
      <c r="BN184" s="58"/>
      <c r="BO184" s="58"/>
      <c r="BP184" s="58"/>
      <c r="BQ184" s="58"/>
      <c r="BR184" s="58"/>
      <c r="BS184" s="58"/>
      <c r="BT184" s="58"/>
      <c r="BU184" s="58"/>
      <c r="BV184" s="58"/>
      <c r="BW184" s="58"/>
      <c r="BX184" s="58"/>
      <c r="BY184" s="58"/>
      <c r="BZ184" s="58"/>
      <c r="CA184" s="58"/>
      <c r="CB184" s="58"/>
      <c r="CC184" s="58"/>
      <c r="CD184" s="58"/>
      <c r="CE184" s="58"/>
    </row>
    <row r="185" spans="1:83" x14ac:dyDescent="0.25">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c r="BD185" s="58"/>
      <c r="BE185" s="58"/>
      <c r="BF185" s="58"/>
      <c r="BG185" s="58"/>
      <c r="BH185" s="58"/>
      <c r="BI185" s="58"/>
      <c r="BJ185" s="58"/>
      <c r="BK185" s="58"/>
      <c r="BL185" s="58"/>
      <c r="BM185" s="58"/>
      <c r="BN185" s="58"/>
      <c r="BO185" s="58"/>
      <c r="BP185" s="58"/>
      <c r="BQ185" s="58"/>
      <c r="BR185" s="58"/>
      <c r="BS185" s="58"/>
      <c r="BT185" s="58"/>
      <c r="BU185" s="58"/>
      <c r="BV185" s="58"/>
      <c r="BW185" s="58"/>
      <c r="BX185" s="58"/>
      <c r="BY185" s="58"/>
      <c r="BZ185" s="58"/>
      <c r="CA185" s="58"/>
      <c r="CB185" s="58"/>
      <c r="CC185" s="58"/>
      <c r="CD185" s="58"/>
      <c r="CE185" s="58"/>
    </row>
    <row r="186" spans="1:83" x14ac:dyDescent="0.25">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c r="BD186" s="58"/>
      <c r="BE186" s="58"/>
      <c r="BF186" s="58"/>
      <c r="BG186" s="58"/>
      <c r="BH186" s="58"/>
      <c r="BI186" s="58"/>
      <c r="BJ186" s="58"/>
      <c r="BK186" s="58"/>
      <c r="BL186" s="58"/>
      <c r="BM186" s="58"/>
      <c r="BN186" s="58"/>
      <c r="BO186" s="58"/>
      <c r="BP186" s="58"/>
      <c r="BQ186" s="58"/>
      <c r="BR186" s="58"/>
      <c r="BS186" s="58"/>
      <c r="BT186" s="58"/>
      <c r="BU186" s="58"/>
      <c r="BV186" s="58"/>
      <c r="BW186" s="58"/>
      <c r="BX186" s="58"/>
      <c r="BY186" s="58"/>
      <c r="BZ186" s="58"/>
      <c r="CA186" s="58"/>
      <c r="CB186" s="58"/>
      <c r="CC186" s="58"/>
      <c r="CD186" s="58"/>
      <c r="CE186" s="58"/>
    </row>
    <row r="187" spans="1:83" x14ac:dyDescent="0.25">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c r="BD187" s="58"/>
      <c r="BE187" s="58"/>
      <c r="BF187" s="58"/>
      <c r="BG187" s="58"/>
      <c r="BH187" s="58"/>
      <c r="BI187" s="58"/>
      <c r="BJ187" s="58"/>
      <c r="BK187" s="58"/>
      <c r="BL187" s="58"/>
      <c r="BM187" s="58"/>
      <c r="BN187" s="58"/>
      <c r="BO187" s="58"/>
      <c r="BP187" s="58"/>
      <c r="BQ187" s="58"/>
      <c r="BR187" s="58"/>
      <c r="BS187" s="58"/>
      <c r="BT187" s="58"/>
      <c r="BU187" s="58"/>
      <c r="BV187" s="58"/>
      <c r="BW187" s="58"/>
      <c r="BX187" s="58"/>
      <c r="BY187" s="58"/>
      <c r="BZ187" s="58"/>
      <c r="CA187" s="58"/>
      <c r="CB187" s="58"/>
      <c r="CC187" s="58"/>
      <c r="CD187" s="58"/>
      <c r="CE187" s="58"/>
    </row>
    <row r="188" spans="1:83" x14ac:dyDescent="0.25">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8"/>
      <c r="BS188" s="58"/>
      <c r="BT188" s="58"/>
      <c r="BU188" s="58"/>
      <c r="BV188" s="58"/>
      <c r="BW188" s="58"/>
      <c r="BX188" s="58"/>
      <c r="BY188" s="58"/>
      <c r="BZ188" s="58"/>
      <c r="CA188" s="58"/>
      <c r="CB188" s="58"/>
      <c r="CC188" s="58"/>
      <c r="CD188" s="58"/>
      <c r="CE188" s="58"/>
    </row>
    <row r="189" spans="1:83" x14ac:dyDescent="0.25">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c r="BD189" s="58"/>
      <c r="BE189" s="58"/>
      <c r="BF189" s="58"/>
      <c r="BG189" s="58"/>
      <c r="BH189" s="58"/>
      <c r="BI189" s="58"/>
      <c r="BJ189" s="58"/>
      <c r="BK189" s="58"/>
      <c r="BL189" s="58"/>
      <c r="BM189" s="58"/>
      <c r="BN189" s="58"/>
      <c r="BO189" s="58"/>
      <c r="BP189" s="58"/>
      <c r="BQ189" s="58"/>
      <c r="BR189" s="58"/>
      <c r="BS189" s="58"/>
      <c r="BT189" s="58"/>
      <c r="BU189" s="58"/>
      <c r="BV189" s="58"/>
      <c r="BW189" s="58"/>
      <c r="BX189" s="58"/>
      <c r="BY189" s="58"/>
      <c r="BZ189" s="58"/>
      <c r="CA189" s="58"/>
      <c r="CB189" s="58"/>
      <c r="CC189" s="58"/>
      <c r="CD189" s="58"/>
      <c r="CE189" s="58"/>
    </row>
    <row r="190" spans="1:83" x14ac:dyDescent="0.25">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c r="BD190" s="58"/>
      <c r="BE190" s="58"/>
      <c r="BF190" s="58"/>
      <c r="BG190" s="58"/>
      <c r="BH190" s="58"/>
      <c r="BI190" s="58"/>
      <c r="BJ190" s="58"/>
      <c r="BK190" s="58"/>
      <c r="BL190" s="58"/>
      <c r="BM190" s="58"/>
      <c r="BN190" s="58"/>
      <c r="BO190" s="58"/>
      <c r="BP190" s="58"/>
      <c r="BQ190" s="58"/>
      <c r="BR190" s="58"/>
      <c r="BS190" s="58"/>
      <c r="BT190" s="58"/>
      <c r="BU190" s="58"/>
      <c r="BV190" s="58"/>
      <c r="BW190" s="58"/>
      <c r="BX190" s="58"/>
      <c r="BY190" s="58"/>
      <c r="BZ190" s="58"/>
      <c r="CA190" s="58"/>
      <c r="CB190" s="58"/>
      <c r="CC190" s="58"/>
      <c r="CD190" s="58"/>
      <c r="CE190" s="58"/>
    </row>
    <row r="191" spans="1:83" x14ac:dyDescent="0.25">
      <c r="B191" s="58"/>
      <c r="C191" s="58"/>
      <c r="D191" s="58"/>
      <c r="E191" s="58"/>
      <c r="F191" s="58"/>
      <c r="G191" s="58"/>
      <c r="H191" s="58"/>
      <c r="I191" s="58"/>
      <c r="J191" s="58"/>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c r="BD191" s="58"/>
      <c r="BE191" s="58"/>
      <c r="BF191" s="58"/>
      <c r="BG191" s="58"/>
      <c r="BH191" s="58"/>
      <c r="BI191" s="58"/>
      <c r="BJ191" s="58"/>
      <c r="BK191" s="58"/>
      <c r="BL191" s="58"/>
      <c r="BM191" s="58"/>
      <c r="BN191" s="58"/>
      <c r="BO191" s="58"/>
      <c r="BP191" s="58"/>
      <c r="BQ191" s="58"/>
      <c r="BR191" s="58"/>
      <c r="BS191" s="58"/>
      <c r="BT191" s="58"/>
      <c r="BU191" s="58"/>
      <c r="BV191" s="58"/>
      <c r="BW191" s="58"/>
      <c r="BX191" s="58"/>
      <c r="BY191" s="58"/>
      <c r="BZ191" s="58"/>
      <c r="CA191" s="58"/>
      <c r="CB191" s="58"/>
      <c r="CC191" s="58"/>
      <c r="CD191" s="58"/>
      <c r="CE191" s="58"/>
    </row>
    <row r="192" spans="1:83" x14ac:dyDescent="0.25">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c r="BD192" s="58"/>
      <c r="BE192" s="58"/>
      <c r="BF192" s="58"/>
      <c r="BG192" s="58"/>
      <c r="BH192" s="58"/>
      <c r="BI192" s="58"/>
      <c r="BJ192" s="58"/>
      <c r="BK192" s="58"/>
      <c r="BL192" s="58"/>
      <c r="BM192" s="58"/>
      <c r="BN192" s="58"/>
      <c r="BO192" s="58"/>
      <c r="BP192" s="58"/>
      <c r="BQ192" s="58"/>
      <c r="BR192" s="58"/>
      <c r="BS192" s="58"/>
      <c r="BT192" s="58"/>
      <c r="BU192" s="58"/>
      <c r="BV192" s="58"/>
      <c r="BW192" s="58"/>
      <c r="BX192" s="58"/>
      <c r="BY192" s="58"/>
      <c r="BZ192" s="58"/>
      <c r="CA192" s="58"/>
      <c r="CB192" s="58"/>
      <c r="CC192" s="58"/>
      <c r="CD192" s="58"/>
      <c r="CE192" s="58"/>
    </row>
    <row r="193" spans="2:83" x14ac:dyDescent="0.25">
      <c r="B193" s="58"/>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c r="BD193" s="58"/>
      <c r="BE193" s="58"/>
      <c r="BF193" s="58"/>
      <c r="BG193" s="58"/>
      <c r="BH193" s="58"/>
      <c r="BI193" s="58"/>
      <c r="BJ193" s="58"/>
      <c r="BK193" s="58"/>
      <c r="BL193" s="58"/>
      <c r="BM193" s="58"/>
      <c r="BN193" s="58"/>
      <c r="BO193" s="58"/>
      <c r="BP193" s="58"/>
      <c r="BQ193" s="58"/>
      <c r="BR193" s="58"/>
      <c r="BS193" s="58"/>
      <c r="BT193" s="58"/>
      <c r="BU193" s="58"/>
      <c r="BV193" s="58"/>
      <c r="BW193" s="58"/>
      <c r="BX193" s="58"/>
      <c r="BY193" s="58"/>
      <c r="BZ193" s="58"/>
      <c r="CA193" s="58"/>
      <c r="CB193" s="58"/>
      <c r="CC193" s="58"/>
      <c r="CD193" s="58"/>
      <c r="CE193" s="58"/>
    </row>
    <row r="194" spans="2:83" x14ac:dyDescent="0.25">
      <c r="B194" s="58"/>
      <c r="C194" s="58"/>
      <c r="D194" s="58"/>
      <c r="E194" s="58"/>
      <c r="F194" s="58"/>
      <c r="G194" s="58"/>
      <c r="H194" s="58"/>
      <c r="I194" s="58"/>
      <c r="J194" s="58"/>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c r="BD194" s="58"/>
      <c r="BE194" s="58"/>
      <c r="BF194" s="58"/>
      <c r="BG194" s="58"/>
      <c r="BH194" s="58"/>
      <c r="BI194" s="58"/>
      <c r="BJ194" s="58"/>
      <c r="BK194" s="58"/>
      <c r="BL194" s="58"/>
      <c r="BM194" s="58"/>
      <c r="BN194" s="58"/>
      <c r="BO194" s="58"/>
      <c r="BP194" s="58"/>
      <c r="BQ194" s="58"/>
      <c r="BR194" s="58"/>
      <c r="BS194" s="58"/>
      <c r="BT194" s="58"/>
      <c r="BU194" s="58"/>
      <c r="BV194" s="58"/>
      <c r="BW194" s="58"/>
      <c r="BX194" s="58"/>
      <c r="BY194" s="58"/>
      <c r="BZ194" s="58"/>
      <c r="CA194" s="58"/>
      <c r="CB194" s="58"/>
      <c r="CC194" s="58"/>
      <c r="CD194" s="58"/>
      <c r="CE194" s="58"/>
    </row>
    <row r="195" spans="2:83" x14ac:dyDescent="0.25">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c r="BD195" s="58"/>
      <c r="BE195" s="58"/>
      <c r="BF195" s="58"/>
      <c r="BG195" s="58"/>
      <c r="BH195" s="58"/>
      <c r="BI195" s="58"/>
      <c r="BJ195" s="58"/>
      <c r="BK195" s="58"/>
      <c r="BL195" s="58"/>
      <c r="BM195" s="58"/>
      <c r="BN195" s="58"/>
      <c r="BO195" s="58"/>
      <c r="BP195" s="58"/>
      <c r="BQ195" s="58"/>
      <c r="BR195" s="58"/>
      <c r="BS195" s="58"/>
      <c r="BT195" s="58"/>
      <c r="BU195" s="58"/>
      <c r="BV195" s="58"/>
      <c r="BW195" s="58"/>
      <c r="BX195" s="58"/>
      <c r="BY195" s="58"/>
      <c r="BZ195" s="58"/>
      <c r="CA195" s="58"/>
      <c r="CB195" s="58"/>
      <c r="CC195" s="58"/>
      <c r="CD195" s="58"/>
      <c r="CE195" s="58"/>
    </row>
    <row r="196" spans="2:83" x14ac:dyDescent="0.25">
      <c r="B196" s="58"/>
      <c r="C196" s="58"/>
      <c r="D196" s="58"/>
      <c r="E196" s="58"/>
      <c r="F196" s="58"/>
      <c r="G196" s="58"/>
      <c r="H196" s="58"/>
      <c r="I196" s="58"/>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c r="BD196" s="58"/>
      <c r="BE196" s="58"/>
      <c r="BF196" s="58"/>
      <c r="BG196" s="58"/>
      <c r="BH196" s="58"/>
      <c r="BI196" s="58"/>
      <c r="BJ196" s="58"/>
      <c r="BK196" s="58"/>
      <c r="BL196" s="58"/>
      <c r="BM196" s="58"/>
      <c r="BN196" s="58"/>
      <c r="BO196" s="58"/>
      <c r="BP196" s="58"/>
      <c r="BQ196" s="58"/>
      <c r="BR196" s="58"/>
      <c r="BS196" s="58"/>
      <c r="BT196" s="58"/>
      <c r="BU196" s="58"/>
      <c r="BV196" s="58"/>
      <c r="BW196" s="58"/>
      <c r="BX196" s="58"/>
      <c r="BY196" s="58"/>
      <c r="BZ196" s="58"/>
      <c r="CA196" s="58"/>
      <c r="CB196" s="58"/>
      <c r="CC196" s="58"/>
      <c r="CD196" s="58"/>
      <c r="CE196" s="58"/>
    </row>
    <row r="197" spans="2:83" x14ac:dyDescent="0.25">
      <c r="B197" s="58"/>
      <c r="C197" s="58"/>
      <c r="D197" s="58"/>
      <c r="E197" s="58"/>
      <c r="F197" s="58"/>
      <c r="G197" s="58"/>
      <c r="H197" s="58"/>
      <c r="I197" s="58"/>
      <c r="BI197" s="58"/>
      <c r="BJ197" s="58"/>
      <c r="BK197" s="58"/>
      <c r="BL197" s="58"/>
      <c r="BM197" s="58"/>
      <c r="BN197" s="58"/>
    </row>
    <row r="198" spans="2:83" x14ac:dyDescent="0.25">
      <c r="B198" s="58"/>
      <c r="C198" s="58"/>
      <c r="D198" s="58"/>
      <c r="E198" s="58"/>
      <c r="F198" s="58"/>
      <c r="G198" s="58"/>
      <c r="H198" s="58"/>
      <c r="I198" s="58"/>
      <c r="BI198" s="58"/>
      <c r="BJ198" s="58"/>
      <c r="BK198" s="58"/>
      <c r="BL198" s="58"/>
      <c r="BM198" s="58"/>
      <c r="BN198" s="58"/>
    </row>
    <row r="199" spans="2:83" x14ac:dyDescent="0.25">
      <c r="B199" s="58"/>
      <c r="C199" s="58"/>
      <c r="D199" s="58"/>
      <c r="E199" s="58"/>
      <c r="F199" s="58"/>
      <c r="G199" s="58"/>
      <c r="H199" s="58"/>
      <c r="I199" s="58"/>
      <c r="BI199" s="58"/>
      <c r="BJ199" s="58"/>
      <c r="BK199" s="58"/>
      <c r="BL199" s="58"/>
      <c r="BM199" s="58"/>
      <c r="BN199" s="58"/>
    </row>
    <row r="200" spans="2:83" x14ac:dyDescent="0.25">
      <c r="B200" s="58"/>
      <c r="C200" s="58"/>
      <c r="D200" s="58"/>
      <c r="E200" s="58"/>
      <c r="F200" s="58"/>
      <c r="G200" s="58"/>
      <c r="H200" s="58"/>
      <c r="I200" s="58"/>
      <c r="BI200" s="58"/>
      <c r="BJ200" s="58"/>
      <c r="BK200" s="58"/>
      <c r="BL200" s="58"/>
      <c r="BM200" s="58"/>
      <c r="BN200" s="58"/>
    </row>
    <row r="201" spans="2:83" x14ac:dyDescent="0.25">
      <c r="BI201" s="58"/>
      <c r="BJ201" s="58"/>
      <c r="BK201" s="58"/>
      <c r="BL201" s="58"/>
      <c r="BM201" s="58"/>
      <c r="BN201" s="58"/>
    </row>
    <row r="202" spans="2:83" x14ac:dyDescent="0.25">
      <c r="BI202" s="58"/>
      <c r="BJ202" s="58"/>
      <c r="BK202" s="58"/>
      <c r="BL202" s="58"/>
      <c r="BM202" s="58"/>
      <c r="BN202" s="58"/>
    </row>
    <row r="203" spans="2:83" x14ac:dyDescent="0.25">
      <c r="BI203" s="58"/>
      <c r="BJ203" s="58"/>
      <c r="BK203" s="58"/>
      <c r="BL203" s="58"/>
      <c r="BM203" s="58"/>
      <c r="BN203" s="58"/>
    </row>
    <row r="204" spans="2:83" x14ac:dyDescent="0.25">
      <c r="BI204" s="58"/>
      <c r="BJ204" s="58"/>
      <c r="BK204" s="58"/>
      <c r="BL204" s="58"/>
      <c r="BM204" s="58"/>
      <c r="BN204" s="58"/>
    </row>
  </sheetData>
  <mergeCells count="1267">
    <mergeCell ref="B6:D105"/>
    <mergeCell ref="J14:K15"/>
    <mergeCell ref="L10:M11"/>
    <mergeCell ref="L12:M13"/>
    <mergeCell ref="J100:K101"/>
    <mergeCell ref="L100:M101"/>
    <mergeCell ref="J104:K105"/>
    <mergeCell ref="L104:M105"/>
    <mergeCell ref="J86:K87"/>
    <mergeCell ref="L86:M87"/>
    <mergeCell ref="J98:K99"/>
    <mergeCell ref="AD104:AE105"/>
    <mergeCell ref="AJ104:AK105"/>
    <mergeCell ref="AL104:AM105"/>
    <mergeCell ref="AJ98:AK99"/>
    <mergeCell ref="AL98:AM99"/>
    <mergeCell ref="AF86:AG87"/>
    <mergeCell ref="AH86:AI87"/>
    <mergeCell ref="AD88:AE89"/>
    <mergeCell ref="AF88:AG89"/>
    <mergeCell ref="AH88:AI89"/>
    <mergeCell ref="AJ88:AK89"/>
    <mergeCell ref="AL88:AM89"/>
    <mergeCell ref="AD90:AE91"/>
    <mergeCell ref="AF90:AG91"/>
    <mergeCell ref="AH90:AI91"/>
    <mergeCell ref="AJ90:AK91"/>
    <mergeCell ref="AL90:AM91"/>
    <mergeCell ref="AD100:AE101"/>
    <mergeCell ref="AJ100:AK101"/>
    <mergeCell ref="AL100:AM101"/>
    <mergeCell ref="AF104:AG105"/>
    <mergeCell ref="B2:I4"/>
    <mergeCell ref="J80:K81"/>
    <mergeCell ref="L80:M81"/>
    <mergeCell ref="J84:K85"/>
    <mergeCell ref="L84:M85"/>
    <mergeCell ref="J66:K67"/>
    <mergeCell ref="L66:M67"/>
    <mergeCell ref="J68:K69"/>
    <mergeCell ref="J70:K71"/>
    <mergeCell ref="J72:K73"/>
    <mergeCell ref="J60:K61"/>
    <mergeCell ref="L60:M61"/>
    <mergeCell ref="J64:K65"/>
    <mergeCell ref="L64:M65"/>
    <mergeCell ref="J2:BG4"/>
    <mergeCell ref="E6:I25"/>
    <mergeCell ref="E26:I45"/>
    <mergeCell ref="J6:K7"/>
    <mergeCell ref="T26:U27"/>
    <mergeCell ref="Z26:AA27"/>
    <mergeCell ref="AB26:AC27"/>
    <mergeCell ref="T28:U29"/>
    <mergeCell ref="Z28:AA29"/>
    <mergeCell ref="AB28:AC29"/>
    <mergeCell ref="T36:U37"/>
    <mergeCell ref="T32:U33"/>
    <mergeCell ref="T30:U31"/>
    <mergeCell ref="J54:K55"/>
    <mergeCell ref="L54:M55"/>
    <mergeCell ref="J48:K49"/>
    <mergeCell ref="J50:K51"/>
    <mergeCell ref="J52:K53"/>
    <mergeCell ref="AH104:AI105"/>
    <mergeCell ref="AD94:AE95"/>
    <mergeCell ref="AF94:AG95"/>
    <mergeCell ref="AF98:AG99"/>
    <mergeCell ref="AF100:AG101"/>
    <mergeCell ref="AH100:AI101"/>
    <mergeCell ref="AL52:AM53"/>
    <mergeCell ref="AF54:AG55"/>
    <mergeCell ref="AJ74:AK75"/>
    <mergeCell ref="AL74:AM75"/>
    <mergeCell ref="AD76:AE77"/>
    <mergeCell ref="AH98:AI99"/>
    <mergeCell ref="T80:U81"/>
    <mergeCell ref="Z80:AA81"/>
    <mergeCell ref="AB80:AC81"/>
    <mergeCell ref="T84:U85"/>
    <mergeCell ref="Z84:AA85"/>
    <mergeCell ref="AB84:AC85"/>
    <mergeCell ref="T66:U67"/>
    <mergeCell ref="Z66:AA67"/>
    <mergeCell ref="AB66:AC67"/>
    <mergeCell ref="T68:U69"/>
    <mergeCell ref="T70:U71"/>
    <mergeCell ref="T72:U73"/>
    <mergeCell ref="V84:W85"/>
    <mergeCell ref="X84:Y85"/>
    <mergeCell ref="AB72:AC73"/>
    <mergeCell ref="AB70:AC71"/>
    <mergeCell ref="V70:W71"/>
    <mergeCell ref="T82:U83"/>
    <mergeCell ref="T86:U87"/>
    <mergeCell ref="T88:U89"/>
    <mergeCell ref="T90:U91"/>
    <mergeCell ref="T98:U99"/>
    <mergeCell ref="AJ58:AK59"/>
    <mergeCell ref="AD84:AE85"/>
    <mergeCell ref="AJ84:AK85"/>
    <mergeCell ref="AL84:AM85"/>
    <mergeCell ref="AD66:AE67"/>
    <mergeCell ref="AJ66:AK67"/>
    <mergeCell ref="AL66:AM67"/>
    <mergeCell ref="AF84:AG85"/>
    <mergeCell ref="AH84:AI85"/>
    <mergeCell ref="AD68:AE69"/>
    <mergeCell ref="AF68:AG69"/>
    <mergeCell ref="AD70:AE71"/>
    <mergeCell ref="AD72:AE73"/>
    <mergeCell ref="AF66:AG67"/>
    <mergeCell ref="AH66:AI67"/>
    <mergeCell ref="AL68:AM69"/>
    <mergeCell ref="AL70:AM71"/>
    <mergeCell ref="AL72:AM73"/>
    <mergeCell ref="AF70:AG71"/>
    <mergeCell ref="AJ76:AK77"/>
    <mergeCell ref="AL76:AM77"/>
    <mergeCell ref="AD78:AE79"/>
    <mergeCell ref="AD86:AE87"/>
    <mergeCell ref="AJ86:AK87"/>
    <mergeCell ref="AL86:AM87"/>
    <mergeCell ref="AD98:AE99"/>
    <mergeCell ref="AD82:AE83"/>
    <mergeCell ref="AJ68:AK69"/>
    <mergeCell ref="AJ70:AK71"/>
    <mergeCell ref="AF78:AG79"/>
    <mergeCell ref="L32:M33"/>
    <mergeCell ref="T34:U35"/>
    <mergeCell ref="Z34:AA35"/>
    <mergeCell ref="J34:K35"/>
    <mergeCell ref="L34:M35"/>
    <mergeCell ref="J32:K33"/>
    <mergeCell ref="J36:K37"/>
    <mergeCell ref="R32:S33"/>
    <mergeCell ref="R34:S35"/>
    <mergeCell ref="R36:S37"/>
    <mergeCell ref="T54:U55"/>
    <mergeCell ref="AB68:AC69"/>
    <mergeCell ref="X66:Y67"/>
    <mergeCell ref="V66:W67"/>
    <mergeCell ref="V68:W69"/>
    <mergeCell ref="AB54:AC55"/>
    <mergeCell ref="T50:U51"/>
    <mergeCell ref="T52:U53"/>
    <mergeCell ref="AB52:AC53"/>
    <mergeCell ref="AB50:AC51"/>
    <mergeCell ref="V48:W49"/>
    <mergeCell ref="N32:O33"/>
    <mergeCell ref="N34:O35"/>
    <mergeCell ref="N36:O37"/>
    <mergeCell ref="L48:M49"/>
    <mergeCell ref="L50:M51"/>
    <mergeCell ref="L52:M53"/>
    <mergeCell ref="N48:O49"/>
    <mergeCell ref="N50:O51"/>
    <mergeCell ref="P50:Q51"/>
    <mergeCell ref="N52:O53"/>
    <mergeCell ref="R48:S49"/>
    <mergeCell ref="BD100:BE101"/>
    <mergeCell ref="BF100:BG101"/>
    <mergeCell ref="AX104:AY105"/>
    <mergeCell ref="BD104:BE105"/>
    <mergeCell ref="BF104:BG105"/>
    <mergeCell ref="AX86:AY87"/>
    <mergeCell ref="BD86:BE87"/>
    <mergeCell ref="BF86:BG87"/>
    <mergeCell ref="AX98:AY99"/>
    <mergeCell ref="BD98:BE99"/>
    <mergeCell ref="BF98:BG99"/>
    <mergeCell ref="AX90:AY91"/>
    <mergeCell ref="AZ90:BA91"/>
    <mergeCell ref="BB90:BC91"/>
    <mergeCell ref="BD90:BE91"/>
    <mergeCell ref="BF90:BG91"/>
    <mergeCell ref="AZ98:BA99"/>
    <mergeCell ref="BB98:BC99"/>
    <mergeCell ref="AZ100:BA101"/>
    <mergeCell ref="BB100:BC101"/>
    <mergeCell ref="AZ104:BA105"/>
    <mergeCell ref="BB104:BC105"/>
    <mergeCell ref="AX100:AY101"/>
    <mergeCell ref="BB102:BC103"/>
    <mergeCell ref="BD88:BE89"/>
    <mergeCell ref="BF88:BG89"/>
    <mergeCell ref="AX94:AY95"/>
    <mergeCell ref="AX88:AY89"/>
    <mergeCell ref="AZ88:BA89"/>
    <mergeCell ref="BB88:BC89"/>
    <mergeCell ref="AX102:AY103"/>
    <mergeCell ref="AZ102:BA103"/>
    <mergeCell ref="BB46:BC47"/>
    <mergeCell ref="AZ68:BA69"/>
    <mergeCell ref="BB68:BC69"/>
    <mergeCell ref="BD68:BE69"/>
    <mergeCell ref="BF68:BG69"/>
    <mergeCell ref="AX70:AY71"/>
    <mergeCell ref="AZ70:BA71"/>
    <mergeCell ref="BB70:BC71"/>
    <mergeCell ref="BD70:BE71"/>
    <mergeCell ref="BF70:BG71"/>
    <mergeCell ref="AZ54:BA55"/>
    <mergeCell ref="BB54:BC55"/>
    <mergeCell ref="AZ60:BA61"/>
    <mergeCell ref="BB60:BC61"/>
    <mergeCell ref="BD54:BE55"/>
    <mergeCell ref="BF54:BG55"/>
    <mergeCell ref="AX62:AY63"/>
    <mergeCell ref="AZ62:BA63"/>
    <mergeCell ref="BD62:BE63"/>
    <mergeCell ref="BF62:BG63"/>
    <mergeCell ref="BB52:BC53"/>
    <mergeCell ref="BD52:BE53"/>
    <mergeCell ref="BF52:BG53"/>
    <mergeCell ref="AZ64:BA65"/>
    <mergeCell ref="BB64:BC65"/>
    <mergeCell ref="AZ20:BA21"/>
    <mergeCell ref="BD82:BE83"/>
    <mergeCell ref="BF82:BG83"/>
    <mergeCell ref="BD78:BE79"/>
    <mergeCell ref="BF78:BG79"/>
    <mergeCell ref="AZ94:BA95"/>
    <mergeCell ref="BB94:BC95"/>
    <mergeCell ref="BD40:BE41"/>
    <mergeCell ref="BF40:BG41"/>
    <mergeCell ref="AX42:AY43"/>
    <mergeCell ref="AZ42:BA43"/>
    <mergeCell ref="BB42:BC43"/>
    <mergeCell ref="BD42:BE43"/>
    <mergeCell ref="BD50:BE51"/>
    <mergeCell ref="BF50:BG51"/>
    <mergeCell ref="AX52:AY53"/>
    <mergeCell ref="AZ52:BA53"/>
    <mergeCell ref="AX66:AY67"/>
    <mergeCell ref="BD66:BE67"/>
    <mergeCell ref="BF66:BG67"/>
    <mergeCell ref="AZ66:BA67"/>
    <mergeCell ref="BB66:BC67"/>
    <mergeCell ref="BD46:BE47"/>
    <mergeCell ref="BF46:BG47"/>
    <mergeCell ref="BF42:BG43"/>
    <mergeCell ref="BD44:BE45"/>
    <mergeCell ref="BF44:BG45"/>
    <mergeCell ref="BD56:BE57"/>
    <mergeCell ref="BF56:BG57"/>
    <mergeCell ref="BD58:BE59"/>
    <mergeCell ref="BF58:BG59"/>
    <mergeCell ref="AZ46:BA47"/>
    <mergeCell ref="BD22:BE23"/>
    <mergeCell ref="BF22:BG23"/>
    <mergeCell ref="AZ16:BA17"/>
    <mergeCell ref="BB16:BC17"/>
    <mergeCell ref="AZ48:BA49"/>
    <mergeCell ref="AX48:AY49"/>
    <mergeCell ref="BD34:BE35"/>
    <mergeCell ref="BF34:BG35"/>
    <mergeCell ref="AX26:AY27"/>
    <mergeCell ref="BD26:BE27"/>
    <mergeCell ref="BF26:BG27"/>
    <mergeCell ref="AX28:AY29"/>
    <mergeCell ref="BD28:BE29"/>
    <mergeCell ref="BF28:BG29"/>
    <mergeCell ref="AX30:AY31"/>
    <mergeCell ref="AZ30:BA31"/>
    <mergeCell ref="BB30:BC31"/>
    <mergeCell ref="BD30:BE31"/>
    <mergeCell ref="BF30:BG31"/>
    <mergeCell ref="AX32:AY33"/>
    <mergeCell ref="AZ32:BA33"/>
    <mergeCell ref="BB32:BC33"/>
    <mergeCell ref="BD32:BE33"/>
    <mergeCell ref="BF32:BG33"/>
    <mergeCell ref="AZ34:BA35"/>
    <mergeCell ref="BB34:BC35"/>
    <mergeCell ref="AZ26:BA27"/>
    <mergeCell ref="BB26:BC27"/>
    <mergeCell ref="AZ28:BA29"/>
    <mergeCell ref="BB28:BC29"/>
    <mergeCell ref="BF36:BG37"/>
    <mergeCell ref="AX20:AY21"/>
    <mergeCell ref="AR104:AS105"/>
    <mergeCell ref="AR102:AS103"/>
    <mergeCell ref="AT102:AU103"/>
    <mergeCell ref="AV102:AW103"/>
    <mergeCell ref="BD24:BE25"/>
    <mergeCell ref="BF24:BG25"/>
    <mergeCell ref="AX6:AY7"/>
    <mergeCell ref="BD6:BE7"/>
    <mergeCell ref="BF6:BG7"/>
    <mergeCell ref="AX8:AY9"/>
    <mergeCell ref="BD8:BE9"/>
    <mergeCell ref="BF8:BG9"/>
    <mergeCell ref="BD16:BE17"/>
    <mergeCell ref="BD14:BE15"/>
    <mergeCell ref="BD12:BE13"/>
    <mergeCell ref="BD10:BE11"/>
    <mergeCell ref="BF16:BG17"/>
    <mergeCell ref="BF14:BG15"/>
    <mergeCell ref="BF12:BG13"/>
    <mergeCell ref="BF10:BG11"/>
    <mergeCell ref="AZ6:BA7"/>
    <mergeCell ref="BB6:BC7"/>
    <mergeCell ref="BB8:BC9"/>
    <mergeCell ref="AZ8:BA9"/>
    <mergeCell ref="AZ10:BA11"/>
    <mergeCell ref="AZ12:BA13"/>
    <mergeCell ref="AZ14:BA15"/>
    <mergeCell ref="BB24:BC25"/>
    <mergeCell ref="BD18:BE19"/>
    <mergeCell ref="BF18:BG19"/>
    <mergeCell ref="BD20:BE21"/>
    <mergeCell ref="BF20:BG21"/>
    <mergeCell ref="AR94:AS95"/>
    <mergeCell ref="AN96:AO97"/>
    <mergeCell ref="AP96:AQ97"/>
    <mergeCell ref="AR96:AS97"/>
    <mergeCell ref="AN64:AO65"/>
    <mergeCell ref="AT64:AU65"/>
    <mergeCell ref="AP92:AQ93"/>
    <mergeCell ref="AR92:AS93"/>
    <mergeCell ref="AT92:AU93"/>
    <mergeCell ref="AV84:AW85"/>
    <mergeCell ref="AT96:AU97"/>
    <mergeCell ref="AV96:AW97"/>
    <mergeCell ref="AV74:AW75"/>
    <mergeCell ref="AN104:AO105"/>
    <mergeCell ref="AT104:AU105"/>
    <mergeCell ref="AV104:AW105"/>
    <mergeCell ref="AN86:AO87"/>
    <mergeCell ref="AT86:AU87"/>
    <mergeCell ref="AV86:AW87"/>
    <mergeCell ref="AN98:AO99"/>
    <mergeCell ref="AT98:AU99"/>
    <mergeCell ref="AV98:AW99"/>
    <mergeCell ref="AT88:AU89"/>
    <mergeCell ref="AV88:AW89"/>
    <mergeCell ref="AN90:AO91"/>
    <mergeCell ref="AP90:AQ91"/>
    <mergeCell ref="AR90:AS91"/>
    <mergeCell ref="AT90:AU91"/>
    <mergeCell ref="AV90:AW91"/>
    <mergeCell ref="AP100:AQ101"/>
    <mergeCell ref="AR100:AS101"/>
    <mergeCell ref="AP104:AQ105"/>
    <mergeCell ref="J12:K13"/>
    <mergeCell ref="AJ28:AK29"/>
    <mergeCell ref="AL28:AM29"/>
    <mergeCell ref="AT16:AU17"/>
    <mergeCell ref="AV16:AW17"/>
    <mergeCell ref="AP24:AQ25"/>
    <mergeCell ref="AR24:AS25"/>
    <mergeCell ref="AF26:AG27"/>
    <mergeCell ref="AH26:AI27"/>
    <mergeCell ref="AF28:AG29"/>
    <mergeCell ref="AH28:AI29"/>
    <mergeCell ref="AT22:AU23"/>
    <mergeCell ref="AN100:AO101"/>
    <mergeCell ref="AT100:AU101"/>
    <mergeCell ref="AV100:AW101"/>
    <mergeCell ref="AP84:AQ85"/>
    <mergeCell ref="AR84:AS85"/>
    <mergeCell ref="AP86:AQ87"/>
    <mergeCell ref="AR86:AS87"/>
    <mergeCell ref="AN88:AO89"/>
    <mergeCell ref="AP88:AQ89"/>
    <mergeCell ref="AR88:AS89"/>
    <mergeCell ref="AN80:AO81"/>
    <mergeCell ref="AP98:AQ99"/>
    <mergeCell ref="AR98:AS99"/>
    <mergeCell ref="AP68:AQ69"/>
    <mergeCell ref="AR68:AS69"/>
    <mergeCell ref="AT68:AU69"/>
    <mergeCell ref="AV68:AW69"/>
    <mergeCell ref="AV92:AW93"/>
    <mergeCell ref="AN94:AO95"/>
    <mergeCell ref="AP94:AQ95"/>
    <mergeCell ref="N6:O7"/>
    <mergeCell ref="AN106:AW111"/>
    <mergeCell ref="AX106:BG111"/>
    <mergeCell ref="T6:U7"/>
    <mergeCell ref="T24:U25"/>
    <mergeCell ref="L6:M7"/>
    <mergeCell ref="L8:M9"/>
    <mergeCell ref="J8:K9"/>
    <mergeCell ref="E66:I85"/>
    <mergeCell ref="T8:U9"/>
    <mergeCell ref="Z8:AA9"/>
    <mergeCell ref="AB8:AC9"/>
    <mergeCell ref="J24:K25"/>
    <mergeCell ref="L24:M25"/>
    <mergeCell ref="AV6:AW7"/>
    <mergeCell ref="AN8:AO9"/>
    <mergeCell ref="AT8:AU9"/>
    <mergeCell ref="AV8:AW9"/>
    <mergeCell ref="AD24:AE25"/>
    <mergeCell ref="AJ24:AK25"/>
    <mergeCell ref="AL24:AM25"/>
    <mergeCell ref="AF6:AG7"/>
    <mergeCell ref="AH6:AI7"/>
    <mergeCell ref="AF8:AG9"/>
    <mergeCell ref="AH8:AI9"/>
    <mergeCell ref="AD10:AE11"/>
    <mergeCell ref="AF10:AG11"/>
    <mergeCell ref="AH10:AI11"/>
    <mergeCell ref="AJ10:AK11"/>
    <mergeCell ref="R6:S7"/>
    <mergeCell ref="P6:Q7"/>
    <mergeCell ref="J10:K11"/>
    <mergeCell ref="P66:Q67"/>
    <mergeCell ref="R66:S67"/>
    <mergeCell ref="BI14:BN33"/>
    <mergeCell ref="BI34:BN53"/>
    <mergeCell ref="BI54:BN73"/>
    <mergeCell ref="BI74:BN97"/>
    <mergeCell ref="E46:I65"/>
    <mergeCell ref="E86:I105"/>
    <mergeCell ref="J106:S111"/>
    <mergeCell ref="T106:AC111"/>
    <mergeCell ref="AD106:AM111"/>
    <mergeCell ref="Z24:AA25"/>
    <mergeCell ref="AB24:AC25"/>
    <mergeCell ref="AD6:AE7"/>
    <mergeCell ref="AJ6:AK7"/>
    <mergeCell ref="AL6:AM7"/>
    <mergeCell ref="AD8:AE9"/>
    <mergeCell ref="AJ8:AK9"/>
    <mergeCell ref="AL8:AM9"/>
    <mergeCell ref="Z6:AA7"/>
    <mergeCell ref="AB6:AC7"/>
    <mergeCell ref="AN6:AO7"/>
    <mergeCell ref="AT6:AU7"/>
    <mergeCell ref="AN24:AO25"/>
    <mergeCell ref="AT24:AU25"/>
    <mergeCell ref="AN26:AO27"/>
    <mergeCell ref="AL10:AM11"/>
    <mergeCell ref="AD12:AE13"/>
    <mergeCell ref="AF12:AG13"/>
    <mergeCell ref="AH12:AI13"/>
    <mergeCell ref="AJ12:AK13"/>
    <mergeCell ref="AL12:AM13"/>
    <mergeCell ref="N20:O21"/>
    <mergeCell ref="P20:Q21"/>
    <mergeCell ref="L14:M15"/>
    <mergeCell ref="N8:O9"/>
    <mergeCell ref="N10:O11"/>
    <mergeCell ref="N12:O13"/>
    <mergeCell ref="N14:O15"/>
    <mergeCell ref="P8:Q9"/>
    <mergeCell ref="P10:Q11"/>
    <mergeCell ref="P12:Q13"/>
    <mergeCell ref="P14:Q15"/>
    <mergeCell ref="R14:S15"/>
    <mergeCell ref="R12:S13"/>
    <mergeCell ref="R10:S11"/>
    <mergeCell ref="R8:S9"/>
    <mergeCell ref="P72:Q73"/>
    <mergeCell ref="N86:O87"/>
    <mergeCell ref="P86:Q87"/>
    <mergeCell ref="R86:S87"/>
    <mergeCell ref="P32:Q33"/>
    <mergeCell ref="P34:Q35"/>
    <mergeCell ref="P36:Q37"/>
    <mergeCell ref="N54:O55"/>
    <mergeCell ref="P52:Q53"/>
    <mergeCell ref="P54:Q55"/>
    <mergeCell ref="N60:O61"/>
    <mergeCell ref="N64:O65"/>
    <mergeCell ref="P60:Q61"/>
    <mergeCell ref="P64:Q65"/>
    <mergeCell ref="R64:S65"/>
    <mergeCell ref="R60:S61"/>
    <mergeCell ref="R54:S55"/>
    <mergeCell ref="J94:K95"/>
    <mergeCell ref="L98:M99"/>
    <mergeCell ref="J16:K17"/>
    <mergeCell ref="L16:M17"/>
    <mergeCell ref="N16:O17"/>
    <mergeCell ref="P16:Q17"/>
    <mergeCell ref="R16:S17"/>
    <mergeCell ref="N26:O27"/>
    <mergeCell ref="P26:Q27"/>
    <mergeCell ref="R26:S27"/>
    <mergeCell ref="J30:K31"/>
    <mergeCell ref="L30:M31"/>
    <mergeCell ref="N24:O25"/>
    <mergeCell ref="P24:Q25"/>
    <mergeCell ref="R24:S25"/>
    <mergeCell ref="J26:K27"/>
    <mergeCell ref="L26:M27"/>
    <mergeCell ref="J28:K29"/>
    <mergeCell ref="L28:M29"/>
    <mergeCell ref="R28:S29"/>
    <mergeCell ref="P28:Q29"/>
    <mergeCell ref="N28:O29"/>
    <mergeCell ref="N30:O31"/>
    <mergeCell ref="P30:Q31"/>
    <mergeCell ref="R30:S31"/>
    <mergeCell ref="J18:K19"/>
    <mergeCell ref="L18:M19"/>
    <mergeCell ref="N18:O19"/>
    <mergeCell ref="P18:Q19"/>
    <mergeCell ref="R18:S19"/>
    <mergeCell ref="J20:K21"/>
    <mergeCell ref="L20:M21"/>
    <mergeCell ref="R78:S79"/>
    <mergeCell ref="R52:S53"/>
    <mergeCell ref="P104:Q105"/>
    <mergeCell ref="R88:S89"/>
    <mergeCell ref="R90:S91"/>
    <mergeCell ref="R98:S99"/>
    <mergeCell ref="R100:S101"/>
    <mergeCell ref="R104:S105"/>
    <mergeCell ref="P70:Q71"/>
    <mergeCell ref="R70:S71"/>
    <mergeCell ref="J88:K89"/>
    <mergeCell ref="J90:K91"/>
    <mergeCell ref="L88:M89"/>
    <mergeCell ref="L90:M91"/>
    <mergeCell ref="N88:O89"/>
    <mergeCell ref="N90:O91"/>
    <mergeCell ref="P84:Q85"/>
    <mergeCell ref="R84:S85"/>
    <mergeCell ref="N80:O81"/>
    <mergeCell ref="P80:Q81"/>
    <mergeCell ref="R80:S81"/>
    <mergeCell ref="R72:S73"/>
    <mergeCell ref="N84:O85"/>
    <mergeCell ref="L72:M73"/>
    <mergeCell ref="L70:M71"/>
    <mergeCell ref="N70:O71"/>
    <mergeCell ref="N98:O99"/>
    <mergeCell ref="N100:O101"/>
    <mergeCell ref="N104:O105"/>
    <mergeCell ref="J82:K83"/>
    <mergeCell ref="L82:M83"/>
    <mergeCell ref="N82:O83"/>
    <mergeCell ref="X14:Y15"/>
    <mergeCell ref="X16:Y17"/>
    <mergeCell ref="Z10:AA11"/>
    <mergeCell ref="Z12:AA13"/>
    <mergeCell ref="T18:U19"/>
    <mergeCell ref="Z14:AA15"/>
    <mergeCell ref="Z16:AA17"/>
    <mergeCell ref="AB18:AC19"/>
    <mergeCell ref="V18:W19"/>
    <mergeCell ref="X18:Y19"/>
    <mergeCell ref="Z18:AA19"/>
    <mergeCell ref="L36:M37"/>
    <mergeCell ref="P88:Q89"/>
    <mergeCell ref="P90:Q91"/>
    <mergeCell ref="P98:Q99"/>
    <mergeCell ref="L68:M69"/>
    <mergeCell ref="N68:O69"/>
    <mergeCell ref="P68:Q69"/>
    <mergeCell ref="R68:S69"/>
    <mergeCell ref="L94:M95"/>
    <mergeCell ref="N94:O95"/>
    <mergeCell ref="N38:O39"/>
    <mergeCell ref="P38:Q39"/>
    <mergeCell ref="R38:S39"/>
    <mergeCell ref="P82:Q83"/>
    <mergeCell ref="R82:S83"/>
    <mergeCell ref="N44:O45"/>
    <mergeCell ref="P44:Q45"/>
    <mergeCell ref="R44:S45"/>
    <mergeCell ref="N66:O67"/>
    <mergeCell ref="N78:O79"/>
    <mergeCell ref="P78:Q79"/>
    <mergeCell ref="X28:Y29"/>
    <mergeCell ref="X30:Y31"/>
    <mergeCell ref="X32:Y33"/>
    <mergeCell ref="X34:Y35"/>
    <mergeCell ref="X36:Y37"/>
    <mergeCell ref="Z30:AA31"/>
    <mergeCell ref="Z32:AA33"/>
    <mergeCell ref="Z36:AA37"/>
    <mergeCell ref="AB34:AC35"/>
    <mergeCell ref="V6:W7"/>
    <mergeCell ref="X6:Y7"/>
    <mergeCell ref="V26:W27"/>
    <mergeCell ref="X26:Y27"/>
    <mergeCell ref="AB30:AC31"/>
    <mergeCell ref="T10:U11"/>
    <mergeCell ref="T12:U13"/>
    <mergeCell ref="T14:U15"/>
    <mergeCell ref="T16:U17"/>
    <mergeCell ref="V24:W25"/>
    <mergeCell ref="X24:Y25"/>
    <mergeCell ref="AB10:AC11"/>
    <mergeCell ref="AB12:AC13"/>
    <mergeCell ref="AB14:AC15"/>
    <mergeCell ref="AB16:AC17"/>
    <mergeCell ref="V8:W9"/>
    <mergeCell ref="V10:W11"/>
    <mergeCell ref="V12:W13"/>
    <mergeCell ref="V14:W15"/>
    <mergeCell ref="V16:W17"/>
    <mergeCell ref="X8:Y9"/>
    <mergeCell ref="X10:Y11"/>
    <mergeCell ref="X12:Y13"/>
    <mergeCell ref="AT10:AU11"/>
    <mergeCell ref="AV10:AW11"/>
    <mergeCell ref="AN12:AO13"/>
    <mergeCell ref="AP12:AQ13"/>
    <mergeCell ref="AR12:AS13"/>
    <mergeCell ref="AT12:AU13"/>
    <mergeCell ref="AV12:AW13"/>
    <mergeCell ref="AN14:AO15"/>
    <mergeCell ref="AP14:AQ15"/>
    <mergeCell ref="AR14:AS15"/>
    <mergeCell ref="AT14:AU15"/>
    <mergeCell ref="AV14:AW15"/>
    <mergeCell ref="AH32:AI33"/>
    <mergeCell ref="AJ32:AK33"/>
    <mergeCell ref="AL32:AM33"/>
    <mergeCell ref="AF34:AG35"/>
    <mergeCell ref="AH34:AI35"/>
    <mergeCell ref="AH14:AI15"/>
    <mergeCell ref="AJ14:AK15"/>
    <mergeCell ref="AL14:AM15"/>
    <mergeCell ref="AP22:AQ23"/>
    <mergeCell ref="AR22:AS23"/>
    <mergeCell ref="AF14:AG15"/>
    <mergeCell ref="AF18:AG19"/>
    <mergeCell ref="AH18:AI19"/>
    <mergeCell ref="AJ18:AK19"/>
    <mergeCell ref="AV26:AW27"/>
    <mergeCell ref="AN28:AO29"/>
    <mergeCell ref="AT28:AU29"/>
    <mergeCell ref="AV28:AW29"/>
    <mergeCell ref="AJ26:AK27"/>
    <mergeCell ref="AL26:AM27"/>
    <mergeCell ref="T104:U105"/>
    <mergeCell ref="V104:W105"/>
    <mergeCell ref="X104:Y105"/>
    <mergeCell ref="X86:Y87"/>
    <mergeCell ref="V86:W87"/>
    <mergeCell ref="V88:W89"/>
    <mergeCell ref="X88:Y89"/>
    <mergeCell ref="V90:W91"/>
    <mergeCell ref="V98:W99"/>
    <mergeCell ref="V100:W101"/>
    <mergeCell ref="X90:Y91"/>
    <mergeCell ref="X98:Y99"/>
    <mergeCell ref="X100:Y101"/>
    <mergeCell ref="Z104:AA105"/>
    <mergeCell ref="AB104:AC105"/>
    <mergeCell ref="AB100:AC101"/>
    <mergeCell ref="AB98:AC99"/>
    <mergeCell ref="AB90:AC91"/>
    <mergeCell ref="AB88:AC89"/>
    <mergeCell ref="AB86:AC87"/>
    <mergeCell ref="Z86:AA87"/>
    <mergeCell ref="Z88:AA89"/>
    <mergeCell ref="Z90:AA91"/>
    <mergeCell ref="Z98:AA99"/>
    <mergeCell ref="Z100:AA101"/>
    <mergeCell ref="T92:U93"/>
    <mergeCell ref="V92:W93"/>
    <mergeCell ref="X92:Y93"/>
    <mergeCell ref="Z92:AA93"/>
    <mergeCell ref="AB92:AC93"/>
    <mergeCell ref="T94:U95"/>
    <mergeCell ref="V94:W95"/>
    <mergeCell ref="AP6:AQ7"/>
    <mergeCell ref="AR6:AS7"/>
    <mergeCell ref="AP8:AQ9"/>
    <mergeCell ref="AR8:AS9"/>
    <mergeCell ref="AN10:AO11"/>
    <mergeCell ref="AP10:AQ11"/>
    <mergeCell ref="AR10:AS11"/>
    <mergeCell ref="AD16:AE17"/>
    <mergeCell ref="AF16:AG17"/>
    <mergeCell ref="AH16:AI17"/>
    <mergeCell ref="AJ16:AK17"/>
    <mergeCell ref="AL16:AM17"/>
    <mergeCell ref="AF24:AG25"/>
    <mergeCell ref="AH24:AI25"/>
    <mergeCell ref="AN16:AO17"/>
    <mergeCell ref="AP16:AQ17"/>
    <mergeCell ref="AR16:AS17"/>
    <mergeCell ref="AL18:AM19"/>
    <mergeCell ref="AN18:AO19"/>
    <mergeCell ref="AP20:AQ21"/>
    <mergeCell ref="AR20:AS21"/>
    <mergeCell ref="AD18:AE19"/>
    <mergeCell ref="AD14:AE15"/>
    <mergeCell ref="AP18:AQ19"/>
    <mergeCell ref="AR18:AS19"/>
    <mergeCell ref="BB10:BC11"/>
    <mergeCell ref="BB12:BC13"/>
    <mergeCell ref="BB14:BC15"/>
    <mergeCell ref="AX10:AY11"/>
    <mergeCell ref="AX12:AY13"/>
    <mergeCell ref="AX14:AY15"/>
    <mergeCell ref="AX16:AY17"/>
    <mergeCell ref="AX24:AY25"/>
    <mergeCell ref="AX34:AY35"/>
    <mergeCell ref="BB18:BC19"/>
    <mergeCell ref="AZ86:BA87"/>
    <mergeCell ref="BB86:BC87"/>
    <mergeCell ref="BB72:BC73"/>
    <mergeCell ref="BB20:BC21"/>
    <mergeCell ref="AX22:AY23"/>
    <mergeCell ref="AZ22:BA23"/>
    <mergeCell ref="BB22:BC23"/>
    <mergeCell ref="AX44:AY45"/>
    <mergeCell ref="AZ44:BA45"/>
    <mergeCell ref="BB44:BC45"/>
    <mergeCell ref="AX56:AY57"/>
    <mergeCell ref="AZ56:BA57"/>
    <mergeCell ref="BB56:BC57"/>
    <mergeCell ref="AX58:AY59"/>
    <mergeCell ref="AZ58:BA59"/>
    <mergeCell ref="BB58:BC59"/>
    <mergeCell ref="AX46:AY47"/>
    <mergeCell ref="AX40:AY41"/>
    <mergeCell ref="AZ40:BA41"/>
    <mergeCell ref="BB40:BC41"/>
    <mergeCell ref="AZ38:BA39"/>
    <mergeCell ref="AX68:AY69"/>
    <mergeCell ref="BB38:BC39"/>
    <mergeCell ref="BD38:BE39"/>
    <mergeCell ref="BF38:BG39"/>
    <mergeCell ref="AX60:AY61"/>
    <mergeCell ref="BD60:BE61"/>
    <mergeCell ref="BF60:BG61"/>
    <mergeCell ref="AX64:AY65"/>
    <mergeCell ref="BD64:BE65"/>
    <mergeCell ref="BF64:BG65"/>
    <mergeCell ref="AX54:AY55"/>
    <mergeCell ref="AN84:AO85"/>
    <mergeCell ref="AT84:AU85"/>
    <mergeCell ref="AP36:AQ37"/>
    <mergeCell ref="AR36:AS37"/>
    <mergeCell ref="BB48:BC49"/>
    <mergeCell ref="BD48:BE49"/>
    <mergeCell ref="BF48:BG49"/>
    <mergeCell ref="AX50:AY51"/>
    <mergeCell ref="AZ50:BA51"/>
    <mergeCell ref="BB50:BC51"/>
    <mergeCell ref="AZ84:BA85"/>
    <mergeCell ref="BB84:BC85"/>
    <mergeCell ref="AX36:AY37"/>
    <mergeCell ref="AZ36:BA37"/>
    <mergeCell ref="BB36:BC37"/>
    <mergeCell ref="AT50:AU51"/>
    <mergeCell ref="AV50:AW51"/>
    <mergeCell ref="AN52:AO53"/>
    <mergeCell ref="AV58:AW59"/>
    <mergeCell ref="BF84:BG85"/>
    <mergeCell ref="BB62:BC63"/>
    <mergeCell ref="AX80:AY81"/>
    <mergeCell ref="AJ102:AK103"/>
    <mergeCell ref="AL102:AM103"/>
    <mergeCell ref="AN102:AO103"/>
    <mergeCell ref="AP102:AQ103"/>
    <mergeCell ref="BD36:BE37"/>
    <mergeCell ref="AP52:AQ53"/>
    <mergeCell ref="AR52:AS53"/>
    <mergeCell ref="AT52:AU53"/>
    <mergeCell ref="AV52:AW53"/>
    <mergeCell ref="AP54:AQ55"/>
    <mergeCell ref="AN70:AO71"/>
    <mergeCell ref="AP70:AQ71"/>
    <mergeCell ref="AR70:AS71"/>
    <mergeCell ref="AT70:AU71"/>
    <mergeCell ref="AV70:AW71"/>
    <mergeCell ref="AN72:AO73"/>
    <mergeCell ref="AX84:AY85"/>
    <mergeCell ref="AP72:AQ73"/>
    <mergeCell ref="AR72:AS73"/>
    <mergeCell ref="AT72:AU73"/>
    <mergeCell ref="BD84:BE85"/>
    <mergeCell ref="AJ40:AK41"/>
    <mergeCell ref="AL40:AM41"/>
    <mergeCell ref="AJ36:AK37"/>
    <mergeCell ref="AL36:AM37"/>
    <mergeCell ref="AR38:AS39"/>
    <mergeCell ref="AV72:AW73"/>
    <mergeCell ref="AN68:AO69"/>
    <mergeCell ref="AP62:AQ63"/>
    <mergeCell ref="AR62:AS63"/>
    <mergeCell ref="AT62:AU63"/>
    <mergeCell ref="AV62:AW63"/>
    <mergeCell ref="N102:O103"/>
    <mergeCell ref="P102:Q103"/>
    <mergeCell ref="R102:S103"/>
    <mergeCell ref="T102:U103"/>
    <mergeCell ref="V102:W103"/>
    <mergeCell ref="X102:Y103"/>
    <mergeCell ref="Z102:AA103"/>
    <mergeCell ref="AB102:AC103"/>
    <mergeCell ref="AD102:AE103"/>
    <mergeCell ref="AF102:AG103"/>
    <mergeCell ref="AH102:AI103"/>
    <mergeCell ref="AH40:AI41"/>
    <mergeCell ref="P100:Q101"/>
    <mergeCell ref="AH52:AI53"/>
    <mergeCell ref="AH58:AI59"/>
    <mergeCell ref="V82:W83"/>
    <mergeCell ref="X82:Y83"/>
    <mergeCell ref="Z82:AA83"/>
    <mergeCell ref="N72:O73"/>
    <mergeCell ref="AH82:AI83"/>
    <mergeCell ref="Z70:AA71"/>
    <mergeCell ref="V64:W65"/>
    <mergeCell ref="X64:Y65"/>
    <mergeCell ref="X78:Y79"/>
    <mergeCell ref="Z78:AA79"/>
    <mergeCell ref="AB78:AC79"/>
    <mergeCell ref="AB82:AC83"/>
    <mergeCell ref="T100:U101"/>
    <mergeCell ref="Z54:AA55"/>
    <mergeCell ref="R50:S51"/>
    <mergeCell ref="P48:Q49"/>
    <mergeCell ref="AD74:AE75"/>
    <mergeCell ref="AT18:AU19"/>
    <mergeCell ref="AV18:AW19"/>
    <mergeCell ref="AX18:AY19"/>
    <mergeCell ref="AZ18:BA19"/>
    <mergeCell ref="BD102:BE103"/>
    <mergeCell ref="BF102:BG103"/>
    <mergeCell ref="J62:K63"/>
    <mergeCell ref="L62:M63"/>
    <mergeCell ref="N62:O63"/>
    <mergeCell ref="P62:Q63"/>
    <mergeCell ref="R62:S63"/>
    <mergeCell ref="T62:U63"/>
    <mergeCell ref="V62:W63"/>
    <mergeCell ref="X62:Y63"/>
    <mergeCell ref="Z62:AA63"/>
    <mergeCell ref="AB62:AC63"/>
    <mergeCell ref="AD62:AE63"/>
    <mergeCell ref="AF62:AG63"/>
    <mergeCell ref="AH62:AI63"/>
    <mergeCell ref="AJ62:AK63"/>
    <mergeCell ref="AL62:AM63"/>
    <mergeCell ref="AN62:AO63"/>
    <mergeCell ref="J38:K39"/>
    <mergeCell ref="L38:M39"/>
    <mergeCell ref="J102:K103"/>
    <mergeCell ref="AJ82:AK83"/>
    <mergeCell ref="L102:M103"/>
    <mergeCell ref="AF38:AG39"/>
    <mergeCell ref="BD72:BE73"/>
    <mergeCell ref="BF72:BG73"/>
    <mergeCell ref="AZ80:BA81"/>
    <mergeCell ref="BB80:BC81"/>
    <mergeCell ref="AX72:AY73"/>
    <mergeCell ref="AZ72:BA73"/>
    <mergeCell ref="BD80:BE81"/>
    <mergeCell ref="BF80:BG81"/>
    <mergeCell ref="AZ82:BA83"/>
    <mergeCell ref="AN76:AO77"/>
    <mergeCell ref="AP76:AQ77"/>
    <mergeCell ref="AR76:AS77"/>
    <mergeCell ref="AT76:AU77"/>
    <mergeCell ref="AV76:AW77"/>
    <mergeCell ref="BF74:BG75"/>
    <mergeCell ref="AX76:AY77"/>
    <mergeCell ref="AZ76:BA77"/>
    <mergeCell ref="BB76:BC77"/>
    <mergeCell ref="BD76:BE77"/>
    <mergeCell ref="BF76:BG77"/>
    <mergeCell ref="AX78:AY79"/>
    <mergeCell ref="AZ78:BA79"/>
    <mergeCell ref="BB78:BC79"/>
    <mergeCell ref="BD74:BE75"/>
    <mergeCell ref="BB82:BC83"/>
    <mergeCell ref="AR78:AS79"/>
    <mergeCell ref="AT78:AU79"/>
    <mergeCell ref="AV78:AW79"/>
    <mergeCell ref="AX74:AY75"/>
    <mergeCell ref="AZ74:BA75"/>
    <mergeCell ref="BB74:BC75"/>
    <mergeCell ref="V72:W73"/>
    <mergeCell ref="V80:W81"/>
    <mergeCell ref="X70:Y71"/>
    <mergeCell ref="X72:Y73"/>
    <mergeCell ref="X80:Y81"/>
    <mergeCell ref="Z72:AA73"/>
    <mergeCell ref="AD80:AE81"/>
    <mergeCell ref="AJ80:AK81"/>
    <mergeCell ref="X76:Y77"/>
    <mergeCell ref="Z76:AA77"/>
    <mergeCell ref="AB76:AC77"/>
    <mergeCell ref="AH70:AI71"/>
    <mergeCell ref="AH72:AI73"/>
    <mergeCell ref="X74:Y75"/>
    <mergeCell ref="Z74:AA75"/>
    <mergeCell ref="AB74:AC75"/>
    <mergeCell ref="AH78:AI79"/>
    <mergeCell ref="AJ78:AK79"/>
    <mergeCell ref="AH74:AI75"/>
    <mergeCell ref="AF72:AG73"/>
    <mergeCell ref="AF80:AG81"/>
    <mergeCell ref="AH80:AI81"/>
    <mergeCell ref="AR50:AS51"/>
    <mergeCell ref="Z38:AA39"/>
    <mergeCell ref="AP58:AQ59"/>
    <mergeCell ref="AR58:AS59"/>
    <mergeCell ref="AT58:AU59"/>
    <mergeCell ref="AJ52:AK53"/>
    <mergeCell ref="AJ60:AK61"/>
    <mergeCell ref="Z56:AA57"/>
    <mergeCell ref="AF74:AG75"/>
    <mergeCell ref="AN66:AO67"/>
    <mergeCell ref="AT66:AU67"/>
    <mergeCell ref="AV66:AW67"/>
    <mergeCell ref="AF76:AG77"/>
    <mergeCell ref="AH76:AI77"/>
    <mergeCell ref="AP80:AQ81"/>
    <mergeCell ref="AR80:AS81"/>
    <mergeCell ref="AT80:AU81"/>
    <mergeCell ref="AV80:AW81"/>
    <mergeCell ref="AL80:AM81"/>
    <mergeCell ref="AL78:AM79"/>
    <mergeCell ref="AH38:AI39"/>
    <mergeCell ref="AJ38:AK39"/>
    <mergeCell ref="AL38:AM39"/>
    <mergeCell ref="AN38:AO39"/>
    <mergeCell ref="AN40:AO41"/>
    <mergeCell ref="AV64:AW65"/>
    <mergeCell ref="AP64:AQ65"/>
    <mergeCell ref="AR64:AS65"/>
    <mergeCell ref="AP66:AQ67"/>
    <mergeCell ref="AR66:AS67"/>
    <mergeCell ref="AN78:AO79"/>
    <mergeCell ref="AP78:AQ79"/>
    <mergeCell ref="AX38:AY39"/>
    <mergeCell ref="AR54:AS55"/>
    <mergeCell ref="AP60:AQ61"/>
    <mergeCell ref="AB38:AC39"/>
    <mergeCell ref="AD38:AE39"/>
    <mergeCell ref="T64:U65"/>
    <mergeCell ref="Z64:AA65"/>
    <mergeCell ref="AB64:AC65"/>
    <mergeCell ref="AT48:AU49"/>
    <mergeCell ref="AR60:AS61"/>
    <mergeCell ref="AP38:AQ39"/>
    <mergeCell ref="Z48:AA49"/>
    <mergeCell ref="AB48:AC49"/>
    <mergeCell ref="AN44:AO45"/>
    <mergeCell ref="AP44:AQ45"/>
    <mergeCell ref="AR44:AS45"/>
    <mergeCell ref="AT44:AU45"/>
    <mergeCell ref="AV44:AW45"/>
    <mergeCell ref="AL58:AM59"/>
    <mergeCell ref="AN56:AO57"/>
    <mergeCell ref="AP56:AQ57"/>
    <mergeCell ref="AR56:AS57"/>
    <mergeCell ref="AN54:AO55"/>
    <mergeCell ref="AT54:AU55"/>
    <mergeCell ref="AH50:AI51"/>
    <mergeCell ref="AJ50:AK51"/>
    <mergeCell ref="AL50:AM51"/>
    <mergeCell ref="AD52:AE53"/>
    <mergeCell ref="AF52:AG53"/>
    <mergeCell ref="AV56:AW57"/>
    <mergeCell ref="AN58:AO59"/>
    <mergeCell ref="AD60:AE61"/>
    <mergeCell ref="AH68:AI69"/>
    <mergeCell ref="AF82:AG83"/>
    <mergeCell ref="AL82:AM83"/>
    <mergeCell ref="AN82:AO83"/>
    <mergeCell ref="AP82:AQ83"/>
    <mergeCell ref="AR82:AS83"/>
    <mergeCell ref="AT82:AU83"/>
    <mergeCell ref="AV82:AW83"/>
    <mergeCell ref="AX82:AY83"/>
    <mergeCell ref="AF20:AG21"/>
    <mergeCell ref="AH20:AI21"/>
    <mergeCell ref="AJ20:AK21"/>
    <mergeCell ref="AL20:AM21"/>
    <mergeCell ref="AD22:AE23"/>
    <mergeCell ref="AF22:AG23"/>
    <mergeCell ref="AH22:AI23"/>
    <mergeCell ref="AJ22:AK23"/>
    <mergeCell ref="AL22:AM23"/>
    <mergeCell ref="AD32:AE33"/>
    <mergeCell ref="AF32:AG33"/>
    <mergeCell ref="AD26:AE27"/>
    <mergeCell ref="AD28:AE29"/>
    <mergeCell ref="AV48:AW49"/>
    <mergeCell ref="AV30:AW31"/>
    <mergeCell ref="AT34:AU35"/>
    <mergeCell ref="AV34:AW35"/>
    <mergeCell ref="AP40:AQ41"/>
    <mergeCell ref="AR40:AS41"/>
    <mergeCell ref="AT40:AU41"/>
    <mergeCell ref="AV40:AW41"/>
    <mergeCell ref="AN42:AO43"/>
    <mergeCell ref="AP42:AQ43"/>
    <mergeCell ref="T44:U45"/>
    <mergeCell ref="V44:W45"/>
    <mergeCell ref="X44:Y45"/>
    <mergeCell ref="Z44:AA45"/>
    <mergeCell ref="AB44:AC45"/>
    <mergeCell ref="AD40:AE41"/>
    <mergeCell ref="AF40:AG41"/>
    <mergeCell ref="T40:U41"/>
    <mergeCell ref="V40:W41"/>
    <mergeCell ref="X40:Y41"/>
    <mergeCell ref="Z40:AA41"/>
    <mergeCell ref="AB40:AC41"/>
    <mergeCell ref="T42:U43"/>
    <mergeCell ref="V42:W43"/>
    <mergeCell ref="AL34:AM35"/>
    <mergeCell ref="T38:U39"/>
    <mergeCell ref="V38:W39"/>
    <mergeCell ref="X38:Y39"/>
    <mergeCell ref="V36:W37"/>
    <mergeCell ref="AD42:AE43"/>
    <mergeCell ref="AF42:AG43"/>
    <mergeCell ref="AH42:AI43"/>
    <mergeCell ref="AJ42:AK43"/>
    <mergeCell ref="AB32:AC33"/>
    <mergeCell ref="Z60:AA61"/>
    <mergeCell ref="R20:S21"/>
    <mergeCell ref="J22:K23"/>
    <mergeCell ref="L22:M23"/>
    <mergeCell ref="N22:O23"/>
    <mergeCell ref="P22:Q23"/>
    <mergeCell ref="R22:S23"/>
    <mergeCell ref="T20:U21"/>
    <mergeCell ref="V20:W21"/>
    <mergeCell ref="X20:Y21"/>
    <mergeCell ref="Z20:AA21"/>
    <mergeCell ref="AB20:AC21"/>
    <mergeCell ref="T22:U23"/>
    <mergeCell ref="V22:W23"/>
    <mergeCell ref="X22:Y23"/>
    <mergeCell ref="Z22:AA23"/>
    <mergeCell ref="AB22:AC23"/>
    <mergeCell ref="X50:Y51"/>
    <mergeCell ref="J58:K59"/>
    <mergeCell ref="L58:M59"/>
    <mergeCell ref="N58:O59"/>
    <mergeCell ref="P58:Q59"/>
    <mergeCell ref="R58:S59"/>
    <mergeCell ref="T56:U57"/>
    <mergeCell ref="V56:W57"/>
    <mergeCell ref="X56:Y57"/>
    <mergeCell ref="AB36:AC37"/>
    <mergeCell ref="V28:W29"/>
    <mergeCell ref="V30:W31"/>
    <mergeCell ref="V32:W33"/>
    <mergeCell ref="V34:W35"/>
    <mergeCell ref="AR42:AS43"/>
    <mergeCell ref="AT42:AU43"/>
    <mergeCell ref="AV42:AW43"/>
    <mergeCell ref="AT38:AU39"/>
    <mergeCell ref="AV38:AW39"/>
    <mergeCell ref="AD36:AE37"/>
    <mergeCell ref="AF36:AG37"/>
    <mergeCell ref="AH36:AI37"/>
    <mergeCell ref="AN34:AO35"/>
    <mergeCell ref="AD30:AE31"/>
    <mergeCell ref="AF30:AG31"/>
    <mergeCell ref="AH30:AI31"/>
    <mergeCell ref="AJ30:AK31"/>
    <mergeCell ref="AL30:AM31"/>
    <mergeCell ref="AD34:AE35"/>
    <mergeCell ref="AJ34:AK35"/>
    <mergeCell ref="AN36:AO37"/>
    <mergeCell ref="AZ24:BA25"/>
    <mergeCell ref="AT32:AU33"/>
    <mergeCell ref="AV32:AW33"/>
    <mergeCell ref="AP34:AQ35"/>
    <mergeCell ref="AR34:AS35"/>
    <mergeCell ref="AT36:AU37"/>
    <mergeCell ref="AV36:AW37"/>
    <mergeCell ref="AP26:AQ27"/>
    <mergeCell ref="AR26:AS27"/>
    <mergeCell ref="AP28:AQ29"/>
    <mergeCell ref="AR28:AS29"/>
    <mergeCell ref="AN30:AO31"/>
    <mergeCell ref="AP30:AQ31"/>
    <mergeCell ref="AR30:AS31"/>
    <mergeCell ref="AN32:AO33"/>
    <mergeCell ref="AP32:AQ33"/>
    <mergeCell ref="AR32:AS33"/>
    <mergeCell ref="AT30:AU31"/>
    <mergeCell ref="AV24:AW25"/>
    <mergeCell ref="AT26:AU27"/>
    <mergeCell ref="AT20:AU21"/>
    <mergeCell ref="AV20:AW21"/>
    <mergeCell ref="AV22:AW23"/>
    <mergeCell ref="J40:K41"/>
    <mergeCell ref="L40:M41"/>
    <mergeCell ref="N40:O41"/>
    <mergeCell ref="P40:Q41"/>
    <mergeCell ref="R40:S41"/>
    <mergeCell ref="J42:K43"/>
    <mergeCell ref="L42:M43"/>
    <mergeCell ref="N42:O43"/>
    <mergeCell ref="P42:Q43"/>
    <mergeCell ref="R42:S43"/>
    <mergeCell ref="J44:K45"/>
    <mergeCell ref="L44:M45"/>
    <mergeCell ref="J46:K47"/>
    <mergeCell ref="L46:M47"/>
    <mergeCell ref="N46:O47"/>
    <mergeCell ref="P46:Q47"/>
    <mergeCell ref="R46:S47"/>
    <mergeCell ref="AT46:AU47"/>
    <mergeCell ref="AR46:AS47"/>
    <mergeCell ref="AN22:AO23"/>
    <mergeCell ref="AN20:AO21"/>
    <mergeCell ref="AV46:AW47"/>
    <mergeCell ref="T46:U47"/>
    <mergeCell ref="V46:W47"/>
    <mergeCell ref="X46:Y47"/>
    <mergeCell ref="Z46:AA47"/>
    <mergeCell ref="AB46:AC47"/>
    <mergeCell ref="X42:Y43"/>
    <mergeCell ref="AD20:AE21"/>
    <mergeCell ref="AB56:AC57"/>
    <mergeCell ref="T58:U59"/>
    <mergeCell ref="V58:W59"/>
    <mergeCell ref="X58:Y59"/>
    <mergeCell ref="Z58:AA59"/>
    <mergeCell ref="AB58:AC59"/>
    <mergeCell ref="AD56:AE57"/>
    <mergeCell ref="AF56:AG57"/>
    <mergeCell ref="AD58:AE59"/>
    <mergeCell ref="AF58:AG59"/>
    <mergeCell ref="J56:K57"/>
    <mergeCell ref="L56:M57"/>
    <mergeCell ref="N56:O57"/>
    <mergeCell ref="P56:Q57"/>
    <mergeCell ref="R56:S57"/>
    <mergeCell ref="AN46:AO47"/>
    <mergeCell ref="AP46:AQ47"/>
    <mergeCell ref="AN48:AO49"/>
    <mergeCell ref="AP48:AQ49"/>
    <mergeCell ref="X48:Y49"/>
    <mergeCell ref="AR48:AS49"/>
    <mergeCell ref="AD50:AE51"/>
    <mergeCell ref="AF50:AG51"/>
    <mergeCell ref="AB42:AC43"/>
    <mergeCell ref="V50:W51"/>
    <mergeCell ref="Z42:AA43"/>
    <mergeCell ref="Z52:AA53"/>
    <mergeCell ref="AB60:AC61"/>
    <mergeCell ref="AJ72:AK73"/>
    <mergeCell ref="X68:Y69"/>
    <mergeCell ref="Z68:AA69"/>
    <mergeCell ref="AV54:AW55"/>
    <mergeCell ref="AN50:AO51"/>
    <mergeCell ref="AP50:AQ51"/>
    <mergeCell ref="X52:Y53"/>
    <mergeCell ref="AL60:AM61"/>
    <mergeCell ref="AD64:AE65"/>
    <mergeCell ref="AJ64:AK65"/>
    <mergeCell ref="AL64:AM65"/>
    <mergeCell ref="AJ46:AK47"/>
    <mergeCell ref="AH56:AI57"/>
    <mergeCell ref="AJ56:AK57"/>
    <mergeCell ref="AL56:AM57"/>
    <mergeCell ref="AF64:AG65"/>
    <mergeCell ref="AH64:AI65"/>
    <mergeCell ref="AN60:AO61"/>
    <mergeCell ref="AT60:AU61"/>
    <mergeCell ref="AV60:AW61"/>
    <mergeCell ref="AH46:AI47"/>
    <mergeCell ref="AD48:AE49"/>
    <mergeCell ref="AF48:AG49"/>
    <mergeCell ref="AT56:AU57"/>
    <mergeCell ref="T74:U75"/>
    <mergeCell ref="V74:W75"/>
    <mergeCell ref="T78:U79"/>
    <mergeCell ref="T76:U77"/>
    <mergeCell ref="V76:W77"/>
    <mergeCell ref="V78:W79"/>
    <mergeCell ref="AL42:AM43"/>
    <mergeCell ref="AD44:AE45"/>
    <mergeCell ref="AF44:AG45"/>
    <mergeCell ref="AH44:AI45"/>
    <mergeCell ref="AJ44:AK45"/>
    <mergeCell ref="AL44:AM45"/>
    <mergeCell ref="AD46:AE47"/>
    <mergeCell ref="AF46:AG47"/>
    <mergeCell ref="T48:U49"/>
    <mergeCell ref="X54:Y55"/>
    <mergeCell ref="X60:Y61"/>
    <mergeCell ref="Z50:AA51"/>
    <mergeCell ref="V52:W53"/>
    <mergeCell ref="V54:W55"/>
    <mergeCell ref="T60:U61"/>
    <mergeCell ref="V60:W61"/>
    <mergeCell ref="AL46:AM47"/>
    <mergeCell ref="AD54:AE55"/>
    <mergeCell ref="AJ54:AK55"/>
    <mergeCell ref="AL54:AM55"/>
    <mergeCell ref="AH54:AI55"/>
    <mergeCell ref="AF60:AG61"/>
    <mergeCell ref="AH60:AI61"/>
    <mergeCell ref="AH48:AI49"/>
    <mergeCell ref="AJ48:AK49"/>
    <mergeCell ref="AL48:AM49"/>
    <mergeCell ref="J92:K93"/>
    <mergeCell ref="L92:M93"/>
    <mergeCell ref="N92:O93"/>
    <mergeCell ref="P92:Q93"/>
    <mergeCell ref="R92:S93"/>
    <mergeCell ref="AD92:AE93"/>
    <mergeCell ref="AF92:AG93"/>
    <mergeCell ref="AH92:AI93"/>
    <mergeCell ref="AJ92:AK93"/>
    <mergeCell ref="AL92:AM93"/>
    <mergeCell ref="AX92:AY93"/>
    <mergeCell ref="AZ92:BA93"/>
    <mergeCell ref="BB92:BC93"/>
    <mergeCell ref="BD92:BE93"/>
    <mergeCell ref="BF92:BG93"/>
    <mergeCell ref="AN74:AO75"/>
    <mergeCell ref="AP74:AQ75"/>
    <mergeCell ref="AR74:AS75"/>
    <mergeCell ref="AT74:AU75"/>
    <mergeCell ref="AN92:AO93"/>
    <mergeCell ref="J74:K75"/>
    <mergeCell ref="L74:M75"/>
    <mergeCell ref="N74:O75"/>
    <mergeCell ref="P74:Q75"/>
    <mergeCell ref="R74:S75"/>
    <mergeCell ref="J76:K77"/>
    <mergeCell ref="L76:M77"/>
    <mergeCell ref="N76:O77"/>
    <mergeCell ref="P76:Q77"/>
    <mergeCell ref="R76:S77"/>
    <mergeCell ref="J78:K79"/>
    <mergeCell ref="L78:M79"/>
    <mergeCell ref="J96:K97"/>
    <mergeCell ref="L96:M97"/>
    <mergeCell ref="N96:O97"/>
    <mergeCell ref="P96:Q97"/>
    <mergeCell ref="R96:S97"/>
    <mergeCell ref="X94:Y95"/>
    <mergeCell ref="Z94:AA95"/>
    <mergeCell ref="AB94:AC95"/>
    <mergeCell ref="T96:U97"/>
    <mergeCell ref="V96:W97"/>
    <mergeCell ref="X96:Y97"/>
    <mergeCell ref="Z96:AA97"/>
    <mergeCell ref="AB96:AC97"/>
    <mergeCell ref="P94:Q95"/>
    <mergeCell ref="R94:S95"/>
    <mergeCell ref="BD94:BE95"/>
    <mergeCell ref="BF94:BG95"/>
    <mergeCell ref="AX96:AY97"/>
    <mergeCell ref="AZ96:BA97"/>
    <mergeCell ref="BB96:BC97"/>
    <mergeCell ref="BD96:BE97"/>
    <mergeCell ref="BF96:BG97"/>
    <mergeCell ref="AH94:AI95"/>
    <mergeCell ref="AJ94:AK95"/>
    <mergeCell ref="AL94:AM95"/>
    <mergeCell ref="AD96:AE97"/>
    <mergeCell ref="AF96:AG97"/>
    <mergeCell ref="AH96:AI97"/>
    <mergeCell ref="AJ96:AK97"/>
    <mergeCell ref="AL96:AM97"/>
    <mergeCell ref="AT94:AU95"/>
    <mergeCell ref="AV94:AW9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X448"/>
  <sheetViews>
    <sheetView topLeftCell="B146" zoomScale="48" zoomScaleNormal="48" workbookViewId="0">
      <selection activeCell="J191" sqref="J191"/>
    </sheetView>
  </sheetViews>
  <sheetFormatPr baseColWidth="10" defaultRowHeight="15" x14ac:dyDescent="0.25"/>
  <cols>
    <col min="2" max="9" width="5.7109375" customWidth="1"/>
    <col min="10" max="10" width="11.42578125" customWidth="1"/>
    <col min="11" max="12" width="12" bestFit="1" customWidth="1"/>
    <col min="13" max="13" width="13.5703125" customWidth="1"/>
    <col min="14" max="14" width="13" customWidth="1"/>
    <col min="15" max="15" width="10.85546875" customWidth="1"/>
    <col min="16" max="16" width="14.140625" customWidth="1"/>
    <col min="17" max="17" width="10.28515625" bestFit="1" customWidth="1"/>
    <col min="18" max="18" width="9.7109375" customWidth="1"/>
    <col min="19" max="19" width="11.42578125" customWidth="1"/>
    <col min="20" max="21" width="9.7109375" customWidth="1"/>
    <col min="22" max="22" width="10.85546875" bestFit="1" customWidth="1"/>
    <col min="23" max="24" width="9.7109375" customWidth="1"/>
    <col min="26" max="31" width="5.7109375" customWidth="1"/>
  </cols>
  <sheetData>
    <row r="1" spans="1:76" x14ac:dyDescent="0.25">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row>
    <row r="2" spans="1:76" ht="18" customHeight="1" x14ac:dyDescent="0.25">
      <c r="A2" s="58"/>
      <c r="B2" s="384" t="s">
        <v>151</v>
      </c>
      <c r="C2" s="385"/>
      <c r="D2" s="385"/>
      <c r="E2" s="385"/>
      <c r="F2" s="385"/>
      <c r="G2" s="385"/>
      <c r="H2" s="385"/>
      <c r="I2" s="385"/>
      <c r="J2" s="355" t="s">
        <v>2</v>
      </c>
      <c r="K2" s="355"/>
      <c r="L2" s="355"/>
      <c r="M2" s="355"/>
      <c r="N2" s="355"/>
      <c r="O2" s="355"/>
      <c r="P2" s="355"/>
      <c r="Q2" s="355"/>
      <c r="R2" s="355"/>
      <c r="S2" s="355"/>
      <c r="T2" s="355"/>
      <c r="U2" s="355"/>
      <c r="V2" s="355"/>
      <c r="W2" s="355"/>
      <c r="X2" s="355"/>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row>
    <row r="3" spans="1:76" ht="18.75" customHeight="1" x14ac:dyDescent="0.25">
      <c r="A3" s="58"/>
      <c r="B3" s="385"/>
      <c r="C3" s="385"/>
      <c r="D3" s="385"/>
      <c r="E3" s="385"/>
      <c r="F3" s="385"/>
      <c r="G3" s="385"/>
      <c r="H3" s="385"/>
      <c r="I3" s="385"/>
      <c r="J3" s="355"/>
      <c r="K3" s="355"/>
      <c r="L3" s="355"/>
      <c r="M3" s="355"/>
      <c r="N3" s="355"/>
      <c r="O3" s="355"/>
      <c r="P3" s="355"/>
      <c r="Q3" s="355"/>
      <c r="R3" s="355"/>
      <c r="S3" s="355"/>
      <c r="T3" s="355"/>
      <c r="U3" s="355"/>
      <c r="V3" s="355"/>
      <c r="W3" s="355"/>
      <c r="X3" s="355"/>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row>
    <row r="4" spans="1:76" ht="15" customHeight="1" x14ac:dyDescent="0.25">
      <c r="A4" s="58"/>
      <c r="B4" s="385"/>
      <c r="C4" s="385"/>
      <c r="D4" s="385"/>
      <c r="E4" s="385"/>
      <c r="F4" s="385"/>
      <c r="G4" s="385"/>
      <c r="H4" s="385"/>
      <c r="I4" s="385"/>
      <c r="J4" s="355"/>
      <c r="K4" s="355"/>
      <c r="L4" s="355"/>
      <c r="M4" s="355"/>
      <c r="N4" s="355"/>
      <c r="O4" s="355"/>
      <c r="P4" s="355"/>
      <c r="Q4" s="355"/>
      <c r="R4" s="355"/>
      <c r="S4" s="355"/>
      <c r="T4" s="355"/>
      <c r="U4" s="355"/>
      <c r="V4" s="355"/>
      <c r="W4" s="355"/>
      <c r="X4" s="355"/>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row>
    <row r="5" spans="1:76" ht="15.75" thickBot="1" x14ac:dyDescent="0.3">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row>
    <row r="6" spans="1:76" ht="15" customHeight="1" x14ac:dyDescent="0.25">
      <c r="A6" s="58"/>
      <c r="B6" s="356" t="s">
        <v>4</v>
      </c>
      <c r="C6" s="356"/>
      <c r="D6" s="357"/>
      <c r="E6" s="367" t="s">
        <v>110</v>
      </c>
      <c r="F6" s="368"/>
      <c r="G6" s="368"/>
      <c r="H6" s="368"/>
      <c r="I6" s="368"/>
      <c r="J6" s="116" t="str">
        <f>IF(AND('Mapa final'!$AB$7="Muy Alta",'Mapa final'!$AD$7="Leve"),CONCATENATE("R1C",'Mapa final'!$R$7),"")</f>
        <v/>
      </c>
      <c r="K6" s="117" t="str">
        <f>IF(AND('Mapa final'!$AB$8="Muy Alta",'Mapa final'!$AD$8="Leve"),CONCATENATE("R1C",'Mapa final'!$R$8),"")</f>
        <v/>
      </c>
      <c r="L6" s="118" t="str">
        <f>IF(AND('Mapa final'!$AB$9="Muy Alta",'Mapa final'!$AD$9="Leve"),CONCATENATE("R1C",'Mapa final'!$R$9),"")</f>
        <v/>
      </c>
      <c r="M6" s="116" t="str">
        <f>IF(AND('Mapa final'!$AB$7="Muy Alta",'Mapa final'!$AD$7="Menor"),CONCATENATE("R1C",'Mapa final'!$R$7),"")</f>
        <v/>
      </c>
      <c r="N6" s="117" t="str">
        <f>IF(AND('Mapa final'!$AB$8="Muy Alta",'Mapa final'!$AD$8="Menor"),CONCATENATE("R1C",'Mapa final'!$R$8),"")</f>
        <v/>
      </c>
      <c r="O6" s="117" t="str">
        <f>IF(AND('Mapa final'!$AB$9="Muy Alta",'Mapa final'!$AD$9="Menor"),CONCATENATE("R1C",'Mapa final'!$R$9),"")</f>
        <v/>
      </c>
      <c r="P6" s="116" t="str">
        <f>IF(AND('Mapa final'!$AB$7="Muy Alta",'Mapa final'!$AD$7="Moderado"),CONCATENATE("R1C",'Mapa final'!$R$7),"")</f>
        <v/>
      </c>
      <c r="Q6" s="117" t="str">
        <f>IF(AND('Mapa final'!$AB$8="Muy Alta",'Mapa final'!$AD$8="Moderado"),CONCATENATE("R1C",'Mapa final'!$R$8),"")</f>
        <v/>
      </c>
      <c r="R6" s="118" t="str">
        <f>IF(AND('Mapa final'!$AB$9="Muy Alta",'Mapa final'!$AD$9="Moderado"),CONCATENATE("R1C",'Mapa final'!$R$9),"")</f>
        <v/>
      </c>
      <c r="S6" s="116" t="str">
        <f>IF(AND('Mapa final'!$AB$7="Muy Alta",'Mapa final'!$AD$7="Mayor"),CONCATENATE("R1C",'Mapa final'!$R$7),"")</f>
        <v/>
      </c>
      <c r="T6" s="117" t="str">
        <f>IF(AND('Mapa final'!$AB$8="Muy Alta",'Mapa final'!$AD$8="Mayor"),CONCATENATE("R1C",'Mapa final'!$R$8),"")</f>
        <v/>
      </c>
      <c r="U6" s="118" t="str">
        <f>IF(AND('Mapa final'!$AB$9="Muy Alta",'Mapa final'!$AD$9="Mayor"),CONCATENATE("R1C",'Mapa final'!$R$9),"")</f>
        <v/>
      </c>
      <c r="V6" s="42" t="str">
        <f>IF(AND('Mapa final'!$AB$7="Muy Alta",'Mapa final'!$AD$7="Catastrófico"),CONCATENATE("R1C",'Mapa final'!$R$7),"")</f>
        <v/>
      </c>
      <c r="W6" s="43" t="str">
        <f>IF(AND('Mapa final'!$AB$8="Muy Alta",'Mapa final'!$AD$8="Catastrófico"),CONCATENATE("R1C",'Mapa final'!$R$8),"")</f>
        <v/>
      </c>
      <c r="X6" s="113" t="str">
        <f>IF(AND('Mapa final'!$AB$9="Muy Alta",'Mapa final'!$AD$9="Catastrófico"),CONCATENATE("R1C",'Mapa final'!$R$9),"")</f>
        <v/>
      </c>
      <c r="Y6" s="58"/>
      <c r="Z6" s="375" t="s">
        <v>73</v>
      </c>
      <c r="AA6" s="376"/>
      <c r="AB6" s="376"/>
      <c r="AC6" s="376"/>
      <c r="AD6" s="376"/>
      <c r="AE6" s="377"/>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row>
    <row r="7" spans="1:76" ht="15" customHeight="1" x14ac:dyDescent="0.25">
      <c r="A7" s="58"/>
      <c r="B7" s="356"/>
      <c r="C7" s="356"/>
      <c r="D7" s="357"/>
      <c r="E7" s="371"/>
      <c r="F7" s="372"/>
      <c r="G7" s="372"/>
      <c r="H7" s="372"/>
      <c r="I7" s="370"/>
      <c r="J7" s="119" t="str">
        <f>IF(AND('Mapa final'!$AB$10="Muy Alta",'Mapa final'!$AD$10="Leve"),CONCATENATE("R2C",'Mapa final'!$R$10),"")</f>
        <v/>
      </c>
      <c r="K7" s="44" t="str">
        <f>IF(AND('Mapa final'!$AB$11="Muy Alta",'Mapa final'!$AD$11="Leve"),CONCATENATE("R2C",'Mapa final'!$R$11),"")</f>
        <v/>
      </c>
      <c r="L7" s="120" t="str">
        <f>IF(AND('Mapa final'!$AB$12="Muy Alta",'Mapa final'!$AD$12="Leve"),CONCATENATE("R2C",'Mapa final'!$R$12),"")</f>
        <v/>
      </c>
      <c r="M7" s="119" t="str">
        <f>IF(AND('Mapa final'!$AB$10="Muy Alta",'Mapa final'!$AD$10="Menor"),CONCATENATE("R2C",'Mapa final'!$R$10),"")</f>
        <v/>
      </c>
      <c r="N7" s="44" t="str">
        <f>IF(AND('Mapa final'!$AB$11="Muy Alta",'Mapa final'!$AD$11="Menor"),CONCATENATE("R2C",'Mapa final'!$R$11),"")</f>
        <v/>
      </c>
      <c r="O7" s="44" t="str">
        <f>IF(AND('Mapa final'!$AB$12="Muy Alta",'Mapa final'!$AD$12="Menor"),CONCATENATE("R2C",'Mapa final'!$R$12),"")</f>
        <v/>
      </c>
      <c r="P7" s="119" t="str">
        <f>IF(AND('Mapa final'!$AB$10="Muy Alta",'Mapa final'!$AD$10="Moderado"),CONCATENATE("R2C",'Mapa final'!$R$10),"")</f>
        <v/>
      </c>
      <c r="Q7" s="44" t="str">
        <f>IF(AND('Mapa final'!$AB$11="Muy Alta",'Mapa final'!$AD$11="Moderado"),CONCATENATE("R2C",'Mapa final'!$R$11),"")</f>
        <v/>
      </c>
      <c r="R7" s="120" t="str">
        <f>IF(AND('Mapa final'!$AB$12="Muy Alta",'Mapa final'!$AD$12="Moderado"),CONCATENATE("R2C",'Mapa final'!$R$12),"")</f>
        <v/>
      </c>
      <c r="S7" s="119" t="str">
        <f>IF(AND('Mapa final'!$AB$10="Muy Alta",'Mapa final'!$AD$10="Mayor"),CONCATENATE("R2C",'Mapa final'!$R$10),"")</f>
        <v/>
      </c>
      <c r="T7" s="44" t="str">
        <f>IF(AND('Mapa final'!$AB$11="Muy Alta",'Mapa final'!$AD$11="Mayor"),CONCATENATE("R2C",'Mapa final'!$R$11),"")</f>
        <v/>
      </c>
      <c r="U7" s="120" t="str">
        <f>IF(AND('Mapa final'!$AB$12="Muy Alta",'Mapa final'!$AD$12="Mayor"),CONCATENATE("R2C",'Mapa final'!$R$12),"")</f>
        <v/>
      </c>
      <c r="V7" s="45" t="str">
        <f>IF(AND('Mapa final'!$AB$10="Muy Alta",'Mapa final'!$AD$10="Catastrófico"),CONCATENATE("R2C",'Mapa final'!$R$10),"")</f>
        <v/>
      </c>
      <c r="W7" s="46" t="str">
        <f>IF(AND('Mapa final'!$AB$11="Muy Alta",'Mapa final'!$AD$11="Catastrófico"),CONCATENATE("R2C",'Mapa final'!$R$11),"")</f>
        <v/>
      </c>
      <c r="X7" s="114" t="str">
        <f>IF(AND('Mapa final'!$AB$12="Muy Alta",'Mapa final'!$AD$12="Catastrófico"),CONCATENATE("R2C",'Mapa final'!$R$12),"")</f>
        <v/>
      </c>
      <c r="Y7" s="58"/>
      <c r="Z7" s="378"/>
      <c r="AA7" s="379"/>
      <c r="AB7" s="379"/>
      <c r="AC7" s="379"/>
      <c r="AD7" s="379"/>
      <c r="AE7" s="380"/>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row>
    <row r="8" spans="1:76" ht="15" customHeight="1" x14ac:dyDescent="0.25">
      <c r="A8" s="58"/>
      <c r="B8" s="356"/>
      <c r="C8" s="356"/>
      <c r="D8" s="357"/>
      <c r="E8" s="371"/>
      <c r="F8" s="372"/>
      <c r="G8" s="372"/>
      <c r="H8" s="372"/>
      <c r="I8" s="370"/>
      <c r="J8" s="119" t="str">
        <f>IF(AND('Mapa final'!$AB$13="Muy Alta",'Mapa final'!$AD$13="Leve"),CONCATENATE("R3C",'Mapa final'!$R$13),"")</f>
        <v/>
      </c>
      <c r="K8" s="44" t="str">
        <f>IF(AND('Mapa final'!$AB$14="Muy Alta",'Mapa final'!$AD$14="Leve"),CONCATENATE("R3C",'Mapa final'!$R$14),"")</f>
        <v/>
      </c>
      <c r="L8" s="120" t="str">
        <f>IF(AND('Mapa final'!$AB$15="Muy Alta",'Mapa final'!$AD$15="Leve"),CONCATENATE("R3C",'Mapa final'!$R$15),"")</f>
        <v/>
      </c>
      <c r="M8" s="119" t="str">
        <f>IF(AND('Mapa final'!$AB$13="Muy Alta",'Mapa final'!$AD$13="Menor"),CONCATENATE("R3C",'Mapa final'!$R$13),"")</f>
        <v/>
      </c>
      <c r="N8" s="44" t="str">
        <f>IF(AND('Mapa final'!$AB$14="Muy Alta",'Mapa final'!$AD$14="Menor"),CONCATENATE("R3C",'Mapa final'!$R$14),"")</f>
        <v/>
      </c>
      <c r="O8" s="44" t="str">
        <f>IF(AND('Mapa final'!$AB$15="Muy Alta",'Mapa final'!$AD$15="Menor"),CONCATENATE("R3C",'Mapa final'!$R$15),"")</f>
        <v/>
      </c>
      <c r="P8" s="119" t="str">
        <f>IF(AND('Mapa final'!$AB$13="Muy Alta",'Mapa final'!$AD$13="Moderado"),CONCATENATE("R3C",'Mapa final'!$R$13),"")</f>
        <v/>
      </c>
      <c r="Q8" s="44" t="str">
        <f>IF(AND('Mapa final'!$AB$14="Muy Alta",'Mapa final'!$AD$14="Moderado"),CONCATENATE("R3C",'Mapa final'!$R$14),"")</f>
        <v/>
      </c>
      <c r="R8" s="120" t="str">
        <f>IF(AND('Mapa final'!$AB$15="Muy Alta",'Mapa final'!$AD$15="Moderado"),CONCATENATE("R3C",'Mapa final'!$R$15),"")</f>
        <v/>
      </c>
      <c r="S8" s="119" t="str">
        <f>IF(AND('Mapa final'!$AB$13="Muy Alta",'Mapa final'!$AD$13="Mayor"),CONCATENATE("R3C",'Mapa final'!$R$13),"")</f>
        <v/>
      </c>
      <c r="T8" s="44" t="str">
        <f>IF(AND('Mapa final'!$AB$14="Muy Alta",'Mapa final'!$AD$14="Mayor"),CONCATENATE("R3C",'Mapa final'!$R$14),"")</f>
        <v/>
      </c>
      <c r="U8" s="120" t="str">
        <f>IF(AND('Mapa final'!$AB$15="Muy Alta",'Mapa final'!$AD$15="Mayor"),CONCATENATE("R3C",'Mapa final'!$R$15),"")</f>
        <v/>
      </c>
      <c r="V8" s="45" t="str">
        <f>IF(AND('Mapa final'!$AB$13="Muy Alta",'Mapa final'!$AD$13="Catastrófico"),CONCATENATE("R3C",'Mapa final'!$R$13),"")</f>
        <v/>
      </c>
      <c r="W8" s="46" t="str">
        <f>IF(AND('Mapa final'!$AB$14="Muy Alta",'Mapa final'!$AD$14="Catastrófico"),CONCATENATE("R3C",'Mapa final'!$R$14),"")</f>
        <v/>
      </c>
      <c r="X8" s="114" t="str">
        <f>IF(AND('Mapa final'!$AB$15="Muy Alta",'Mapa final'!$AD$15="Catastrófico"),CONCATENATE("R3C",'Mapa final'!$R$15),"")</f>
        <v/>
      </c>
      <c r="Y8" s="58"/>
      <c r="Z8" s="378"/>
      <c r="AA8" s="379"/>
      <c r="AB8" s="379"/>
      <c r="AC8" s="379"/>
      <c r="AD8" s="379"/>
      <c r="AE8" s="380"/>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row>
    <row r="9" spans="1:76" ht="15" customHeight="1" x14ac:dyDescent="0.25">
      <c r="A9" s="58"/>
      <c r="B9" s="356"/>
      <c r="C9" s="356"/>
      <c r="D9" s="357"/>
      <c r="E9" s="371"/>
      <c r="F9" s="372"/>
      <c r="G9" s="372"/>
      <c r="H9" s="372"/>
      <c r="I9" s="370"/>
      <c r="J9" s="119" t="str">
        <f>IF(AND('Mapa final'!$AB$16="Muy Alta",'Mapa final'!$AD$16="Leve"),CONCATENATE("R4C",'Mapa final'!$R$16),"")</f>
        <v/>
      </c>
      <c r="K9" s="44" t="str">
        <f>IF(AND('Mapa final'!$AB$17="Muy Alta",'Mapa final'!$AD$17="Leve"),CONCATENATE("R4C",'Mapa final'!$R$17),"")</f>
        <v/>
      </c>
      <c r="L9" s="120" t="str">
        <f>IF(AND('Mapa final'!$AB$18="Muy Alta",'Mapa final'!$AD$18="Leve"),CONCATENATE("R4C",'Mapa final'!$R$18),"")</f>
        <v/>
      </c>
      <c r="M9" s="119" t="str">
        <f>IF(AND('Mapa final'!$AB$16="Muy Alta",'Mapa final'!$AD$16="Menor"),CONCATENATE("R4C",'Mapa final'!$R$16),"")</f>
        <v/>
      </c>
      <c r="N9" s="44" t="str">
        <f>IF(AND('Mapa final'!$AB$17="Muy Alta",'Mapa final'!$AD$17="Menor"),CONCATENATE("R4C",'Mapa final'!$R$17),"")</f>
        <v/>
      </c>
      <c r="O9" s="44" t="str">
        <f>IF(AND('Mapa final'!$AB$18="Muy Alta",'Mapa final'!$AD$18="Menor"),CONCATENATE("R4C",'Mapa final'!$R$18),"")</f>
        <v/>
      </c>
      <c r="P9" s="119" t="str">
        <f>IF(AND('Mapa final'!$AB$16="Muy Alta",'Mapa final'!$AD$16="Moderado"),CONCATENATE("R4C",'Mapa final'!$R$16),"")</f>
        <v/>
      </c>
      <c r="Q9" s="44" t="str">
        <f>IF(AND('Mapa final'!$AB$17="Muy Alta",'Mapa final'!$AD$17="Moderado"),CONCATENATE("R4C",'Mapa final'!$R$17),"")</f>
        <v/>
      </c>
      <c r="R9" s="120" t="str">
        <f>IF(AND('Mapa final'!$AB$18="Muy Alta",'Mapa final'!$AD$18="Moderado"),CONCATENATE("R4C",'Mapa final'!$R$18),"")</f>
        <v/>
      </c>
      <c r="S9" s="119" t="str">
        <f>IF(AND('Mapa final'!$AB$16="Muy Alta",'Mapa final'!$AD$16="Mayor"),CONCATENATE("R4C",'Mapa final'!$R$16),"")</f>
        <v/>
      </c>
      <c r="T9" s="44" t="str">
        <f>IF(AND('Mapa final'!$AB$17="Muy Alta",'Mapa final'!$AD$17="Mayor"),CONCATENATE("R4C",'Mapa final'!$R$17),"")</f>
        <v/>
      </c>
      <c r="U9" s="120" t="str">
        <f>IF(AND('Mapa final'!$AB$18="Muy Alta",'Mapa final'!$AD$18="Mayor"),CONCATENATE("R4C",'Mapa final'!$R$18),"")</f>
        <v/>
      </c>
      <c r="V9" s="45" t="str">
        <f>IF(AND('Mapa final'!$AB$16="Muy Alta",'Mapa final'!$AD$16="Catastrófico"),CONCATENATE("R4C",'Mapa final'!$R$16),"")</f>
        <v/>
      </c>
      <c r="W9" s="46" t="str">
        <f>IF(AND('Mapa final'!$AB$17="Muy Alta",'Mapa final'!$AD$17="Catastrófico"),CONCATENATE("R4C",'Mapa final'!$R$17),"")</f>
        <v/>
      </c>
      <c r="X9" s="114" t="str">
        <f>IF(AND('Mapa final'!$AB$18="Muy Alta",'Mapa final'!$AD$18="Catastrófico"),CONCATENATE("R4C",'Mapa final'!$R$18),"")</f>
        <v/>
      </c>
      <c r="Y9" s="58"/>
      <c r="Z9" s="378"/>
      <c r="AA9" s="379"/>
      <c r="AB9" s="379"/>
      <c r="AC9" s="379"/>
      <c r="AD9" s="379"/>
      <c r="AE9" s="380"/>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row>
    <row r="10" spans="1:76" ht="15" customHeight="1" x14ac:dyDescent="0.25">
      <c r="A10" s="58"/>
      <c r="B10" s="356"/>
      <c r="C10" s="356"/>
      <c r="D10" s="357"/>
      <c r="E10" s="371"/>
      <c r="F10" s="372"/>
      <c r="G10" s="372"/>
      <c r="H10" s="372"/>
      <c r="I10" s="370"/>
      <c r="J10" s="119" t="str">
        <f>IF(AND('Mapa final'!$AB$19="Muy Alta",'Mapa final'!$AD$19="Leve"),CONCATENATE("R5C",'Mapa final'!$R$19),"")</f>
        <v/>
      </c>
      <c r="K10" s="44" t="str">
        <f>IF(AND('Mapa final'!$AB$20="Muy Alta",'Mapa final'!$AD$20="Leve"),CONCATENATE("R5C",'Mapa final'!$R$20),"")</f>
        <v/>
      </c>
      <c r="L10" s="120" t="str">
        <f>IF(AND('Mapa final'!$AB$21="Muy Alta",'Mapa final'!$AD$21="Leve"),CONCATENATE("R5C",'Mapa final'!$R$21),"")</f>
        <v/>
      </c>
      <c r="M10" s="119" t="str">
        <f>IF(AND('Mapa final'!$AB$19="Muy Alta",'Mapa final'!$AD$19="Menor"),CONCATENATE("R5C",'Mapa final'!$R$19),"")</f>
        <v/>
      </c>
      <c r="N10" s="44" t="str">
        <f>IF(AND('Mapa final'!$AB$20="Muy Alta",'Mapa final'!$AD$20="Menor"),CONCATENATE("R5C",'Mapa final'!$R$20),"")</f>
        <v/>
      </c>
      <c r="O10" s="44" t="str">
        <f>IF(AND('Mapa final'!$AB$21="Muy Alta",'Mapa final'!$AD$21="Menor"),CONCATENATE("R5C",'Mapa final'!$R$21),"")</f>
        <v/>
      </c>
      <c r="P10" s="119" t="str">
        <f>IF(AND('Mapa final'!$AB$19="Muy Alta",'Mapa final'!$AD$19="Moderado"),CONCATENATE("R5C",'Mapa final'!$R$19),"")</f>
        <v/>
      </c>
      <c r="Q10" s="44" t="str">
        <f>IF(AND('Mapa final'!$AB$20="Muy Alta",'Mapa final'!$AD$20="Moderado"),CONCATENATE("R5C",'Mapa final'!$R$20),"")</f>
        <v/>
      </c>
      <c r="R10" s="120" t="str">
        <f>IF(AND('Mapa final'!$AB$21="Muy Alta",'Mapa final'!$AD$21="Moderado"),CONCATENATE("R5C",'Mapa final'!$R$21),"")</f>
        <v/>
      </c>
      <c r="S10" s="119" t="str">
        <f>IF(AND('Mapa final'!$AB$19="Muy Alta",'Mapa final'!$AD$19="Mayor"),CONCATENATE("R5C",'Mapa final'!$R$19),"")</f>
        <v/>
      </c>
      <c r="T10" s="44" t="str">
        <f>IF(AND('Mapa final'!$AB$20="Muy Alta",'Mapa final'!$AD$20="Mayor"),CONCATENATE("R5C",'Mapa final'!$R$20),"")</f>
        <v/>
      </c>
      <c r="U10" s="120" t="str">
        <f>IF(AND('Mapa final'!$AB$21="Muy Alta",'Mapa final'!$AD$21="Mayor"),CONCATENATE("R5C",'Mapa final'!$R$21),"")</f>
        <v/>
      </c>
      <c r="V10" s="45" t="str">
        <f>IF(AND('Mapa final'!$AB$19="Muy Alta",'Mapa final'!$AD$19="Catastrófico"),CONCATENATE("R5C",'Mapa final'!$R$19),"")</f>
        <v/>
      </c>
      <c r="W10" s="46" t="str">
        <f>IF(AND('Mapa final'!$AB$20="Muy Alta",'Mapa final'!$AD$20="Catastrófico"),CONCATENATE("R5C",'Mapa final'!$R$20),"")</f>
        <v/>
      </c>
      <c r="X10" s="114" t="str">
        <f>IF(AND('Mapa final'!$AB$21="Muy Alta",'Mapa final'!$AD$21="Catastrófico"),CONCATENATE("R5C",'Mapa final'!$R$21),"")</f>
        <v/>
      </c>
      <c r="Y10" s="58"/>
      <c r="Z10" s="378"/>
      <c r="AA10" s="379"/>
      <c r="AB10" s="379"/>
      <c r="AC10" s="379"/>
      <c r="AD10" s="379"/>
      <c r="AE10" s="380"/>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row>
    <row r="11" spans="1:76" ht="15" customHeight="1" x14ac:dyDescent="0.25">
      <c r="A11" s="58"/>
      <c r="B11" s="356"/>
      <c r="C11" s="356"/>
      <c r="D11" s="357"/>
      <c r="E11" s="371"/>
      <c r="F11" s="372"/>
      <c r="G11" s="372"/>
      <c r="H11" s="372"/>
      <c r="I11" s="370"/>
      <c r="J11" s="119" t="str">
        <f>IF(AND('Mapa final'!$AB$22="Muy Alta",'Mapa final'!$AD$22="Leve"),CONCATENATE("R6C",'Mapa final'!$R$22),"")</f>
        <v/>
      </c>
      <c r="K11" s="44" t="str">
        <f>IF(AND('Mapa final'!$AB$23="Muy Alta",'Mapa final'!$AD$23="Leve"),CONCATENATE("R6C",'Mapa final'!$R$23),"")</f>
        <v/>
      </c>
      <c r="L11" s="120" t="str">
        <f>IF(AND('Mapa final'!$AB$24="Muy Alta",'Mapa final'!$AD$24="Leve"),CONCATENATE("R6C",'Mapa final'!$R$24),"")</f>
        <v/>
      </c>
      <c r="M11" s="119" t="str">
        <f>IF(AND('Mapa final'!$AB$22="Muy Alta",'Mapa final'!$AD$22="Menor"),CONCATENATE("R6C",'Mapa final'!$R$22),"")</f>
        <v/>
      </c>
      <c r="N11" s="44" t="str">
        <f>IF(AND('Mapa final'!$AB$23="Muy Alta",'Mapa final'!$AD$23="Menor"),CONCATENATE("R6C",'Mapa final'!$R$23),"")</f>
        <v/>
      </c>
      <c r="O11" s="44" t="str">
        <f>IF(AND('Mapa final'!$AB$24="Muy Alta",'Mapa final'!$AD$24="Menor"),CONCATENATE("R6C",'Mapa final'!$R$24),"")</f>
        <v/>
      </c>
      <c r="P11" s="119" t="str">
        <f>IF(AND('Mapa final'!$AB$22="Muy Alta",'Mapa final'!$AD$22="Moderado"),CONCATENATE("R6C",'Mapa final'!$R$22),"")</f>
        <v/>
      </c>
      <c r="Q11" s="44" t="str">
        <f>IF(AND('Mapa final'!$AB$23="Muy Alta",'Mapa final'!$AD$23="Moderado"),CONCATENATE("R6C",'Mapa final'!$R$23),"")</f>
        <v/>
      </c>
      <c r="R11" s="120" t="str">
        <f>IF(AND('Mapa final'!$AB$24="Muy Alta",'Mapa final'!$AD$24="Moderado"),CONCATENATE("R6C",'Mapa final'!$R$24),"")</f>
        <v/>
      </c>
      <c r="S11" s="119" t="str">
        <f>IF(AND('Mapa final'!$AB$22="Muy Alta",'Mapa final'!$AD$22="Mayor"),CONCATENATE("R6C",'Mapa final'!$R$22),"")</f>
        <v/>
      </c>
      <c r="T11" s="44" t="str">
        <f>IF(AND('Mapa final'!$AB$23="Muy Alta",'Mapa final'!$AD$23="Mayor"),CONCATENATE("R6C",'Mapa final'!$R$23),"")</f>
        <v/>
      </c>
      <c r="U11" s="120" t="str">
        <f>IF(AND('Mapa final'!$AB$24="Muy Alta",'Mapa final'!$AD$24="Mayor"),CONCATENATE("R6C",'Mapa final'!$R$24),"")</f>
        <v/>
      </c>
      <c r="V11" s="45" t="str">
        <f>IF(AND('Mapa final'!$AB$22="Muy Alta",'Mapa final'!$AD$22="Catastrófico"),CONCATENATE("R6C",'Mapa final'!$R$22),"")</f>
        <v/>
      </c>
      <c r="W11" s="46" t="str">
        <f>IF(AND('Mapa final'!$AB$23="Muy Alta",'Mapa final'!$AD$23="Catastrófico"),CONCATENATE("R6C",'Mapa final'!$R$23),"")</f>
        <v/>
      </c>
      <c r="X11" s="114" t="str">
        <f>IF(AND('Mapa final'!$AB$24="Muy Alta",'Mapa final'!$AD$24="Catastrófico"),CONCATENATE("R6C",'Mapa final'!$R$24),"")</f>
        <v/>
      </c>
      <c r="Y11" s="58"/>
      <c r="Z11" s="378"/>
      <c r="AA11" s="379"/>
      <c r="AB11" s="379"/>
      <c r="AC11" s="379"/>
      <c r="AD11" s="379"/>
      <c r="AE11" s="380"/>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row>
    <row r="12" spans="1:76" ht="15" customHeight="1" x14ac:dyDescent="0.25">
      <c r="A12" s="58"/>
      <c r="B12" s="356"/>
      <c r="C12" s="356"/>
      <c r="D12" s="357"/>
      <c r="E12" s="371"/>
      <c r="F12" s="372"/>
      <c r="G12" s="372"/>
      <c r="H12" s="372"/>
      <c r="I12" s="370"/>
      <c r="J12" s="119" t="str">
        <f>IF(AND('Mapa final'!$AB$25="Muy Alta",'Mapa final'!$AD$25="Leve"),CONCATENATE("R7C",'Mapa final'!$R$25),"")</f>
        <v/>
      </c>
      <c r="K12" s="44" t="str">
        <f>IF(AND('Mapa final'!$AB$26="Muy Alta",'Mapa final'!$AD$26="Leve"),CONCATENATE("R7C",'Mapa final'!$R$26),"")</f>
        <v/>
      </c>
      <c r="L12" s="120" t="str">
        <f>IF(AND('Mapa final'!$AB$27="Muy Alta",'Mapa final'!$AD$27="Leve"),CONCATENATE("R7C",'Mapa final'!$R$27),"")</f>
        <v/>
      </c>
      <c r="M12" s="119" t="str">
        <f>IF(AND('Mapa final'!$AB$25="Muy Alta",'Mapa final'!$AD$25="Menor"),CONCATENATE("R7C",'Mapa final'!$R$25),"")</f>
        <v/>
      </c>
      <c r="N12" s="44" t="str">
        <f>IF(AND('Mapa final'!$AB$26="Muy Alta",'Mapa final'!$AD$26="Menor"),CONCATENATE("R7C",'Mapa final'!$R$26),"")</f>
        <v/>
      </c>
      <c r="O12" s="44" t="str">
        <f>IF(AND('Mapa final'!$AB$27="Muy Alta",'Mapa final'!$AD$27="Menor"),CONCATENATE("R7C",'Mapa final'!$R$27),"")</f>
        <v/>
      </c>
      <c r="P12" s="119" t="str">
        <f>IF(AND('Mapa final'!$AB$25="Muy Alta",'Mapa final'!$AD$25="Moderado"),CONCATENATE("R7C",'Mapa final'!$R$25),"")</f>
        <v/>
      </c>
      <c r="Q12" s="44" t="str">
        <f>IF(AND('Mapa final'!$AB$26="Muy Alta",'Mapa final'!$AD$26="Moderado"),CONCATENATE("R7C",'Mapa final'!$R$26),"")</f>
        <v/>
      </c>
      <c r="R12" s="120" t="str">
        <f>IF(AND('Mapa final'!$AB$27="Muy Alta",'Mapa final'!$AD$27="Moderado"),CONCATENATE("R7C",'Mapa final'!$R$27),"")</f>
        <v/>
      </c>
      <c r="S12" s="119" t="str">
        <f>IF(AND('Mapa final'!$AB$25="Muy Alta",'Mapa final'!$AD$25="Mayor"),CONCATENATE("R7C",'Mapa final'!$R$25),"")</f>
        <v/>
      </c>
      <c r="T12" s="44" t="str">
        <f>IF(AND('Mapa final'!$AB$26="Muy Alta",'Mapa final'!$AD$26="Mayor"),CONCATENATE("R7C",'Mapa final'!$R$26),"")</f>
        <v/>
      </c>
      <c r="U12" s="120" t="str">
        <f>IF(AND('Mapa final'!$AB$27="Muy Alta",'Mapa final'!$AD$27="Mayor"),CONCATENATE("R7C",'Mapa final'!$R$27),"")</f>
        <v/>
      </c>
      <c r="V12" s="45" t="str">
        <f>IF(AND('Mapa final'!$AB$25="Muy Alta",'Mapa final'!$AD$25="Catastrófico"),CONCATENATE("R7C",'Mapa final'!$R$25),"")</f>
        <v/>
      </c>
      <c r="W12" s="46" t="str">
        <f>IF(AND('Mapa final'!$AB$26="Muy Alta",'Mapa final'!$AD$26="Catastrófico"),CONCATENATE("R7C",'Mapa final'!$R$26),"")</f>
        <v/>
      </c>
      <c r="X12" s="114" t="str">
        <f>IF(AND('Mapa final'!$AB$27="Muy Alta",'Mapa final'!$AD$27="Catastrófico"),CONCATENATE("R7C",'Mapa final'!$R$27),"")</f>
        <v/>
      </c>
      <c r="Y12" s="58"/>
      <c r="Z12" s="378"/>
      <c r="AA12" s="379"/>
      <c r="AB12" s="379"/>
      <c r="AC12" s="379"/>
      <c r="AD12" s="379"/>
      <c r="AE12" s="380"/>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row>
    <row r="13" spans="1:76" ht="15" customHeight="1" x14ac:dyDescent="0.25">
      <c r="A13" s="58"/>
      <c r="B13" s="356"/>
      <c r="C13" s="356"/>
      <c r="D13" s="357"/>
      <c r="E13" s="371"/>
      <c r="F13" s="372"/>
      <c r="G13" s="372"/>
      <c r="H13" s="372"/>
      <c r="I13" s="370"/>
      <c r="J13" s="119" t="str">
        <f>IF(AND('Mapa final'!$AB$28="Muy Alta",'Mapa final'!$AD$28="Leve"),CONCATENATE("R8C",'Mapa final'!$R$28),"")</f>
        <v/>
      </c>
      <c r="K13" s="44" t="str">
        <f>IF(AND('Mapa final'!$AB$29="Muy Alta",'Mapa final'!$AD$29="Leve"),CONCATENATE("R8C",'Mapa final'!$R$29),"")</f>
        <v/>
      </c>
      <c r="L13" s="120" t="str">
        <f>IF(AND('Mapa final'!$AB$30="Muy Alta",'Mapa final'!$AD$30="Leve"),CONCATENATE("R8C",'Mapa final'!$R$30),"")</f>
        <v/>
      </c>
      <c r="M13" s="119" t="str">
        <f>IF(AND('Mapa final'!$AB$28="Muy Alta",'Mapa final'!$AD$28="Menor"),CONCATENATE("R8C",'Mapa final'!$R$28),"")</f>
        <v/>
      </c>
      <c r="N13" s="44" t="str">
        <f>IF(AND('Mapa final'!$AB$29="Muy Alta",'Mapa final'!$AD$29="Menor"),CONCATENATE("R8C",'Mapa final'!$R$29),"")</f>
        <v/>
      </c>
      <c r="O13" s="44" t="str">
        <f>IF(AND('Mapa final'!$AB$30="Muy Alta",'Mapa final'!$AD$30="Menor"),CONCATENATE("R8C",'Mapa final'!$R$30),"")</f>
        <v/>
      </c>
      <c r="P13" s="119" t="str">
        <f>IF(AND('Mapa final'!$AB$28="Muy Alta",'Mapa final'!$AD$28="Moderado"),CONCATENATE("R8C",'Mapa final'!$R$28),"")</f>
        <v/>
      </c>
      <c r="Q13" s="44" t="str">
        <f>IF(AND('Mapa final'!$AB$29="Muy Alta",'Mapa final'!$AD$29="Moderado"),CONCATENATE("R8C",'Mapa final'!$R$29),"")</f>
        <v/>
      </c>
      <c r="R13" s="120" t="str">
        <f>IF(AND('Mapa final'!$AB$30="Muy Alta",'Mapa final'!$AD$30="Moderado"),CONCATENATE("R8C",'Mapa final'!$R$30),"")</f>
        <v/>
      </c>
      <c r="S13" s="119" t="str">
        <f>IF(AND('Mapa final'!$AB$28="Muy Alta",'Mapa final'!$AD$28="Mayor"),CONCATENATE("R8C",'Mapa final'!$R$28),"")</f>
        <v/>
      </c>
      <c r="T13" s="44" t="str">
        <f>IF(AND('Mapa final'!$AB$29="Muy Alta",'Mapa final'!$AD$29="Mayor"),CONCATENATE("R8C",'Mapa final'!$R$29),"")</f>
        <v/>
      </c>
      <c r="U13" s="120" t="str">
        <f>IF(AND('Mapa final'!$AB$30="Muy Alta",'Mapa final'!$AD$30="Mayor"),CONCATENATE("R8C",'Mapa final'!$R$30),"")</f>
        <v/>
      </c>
      <c r="V13" s="45" t="str">
        <f>IF(AND('Mapa final'!$AB$28="Muy Alta",'Mapa final'!$AD$28="Catastrófico"),CONCATENATE("R8C",'Mapa final'!$R$28),"")</f>
        <v/>
      </c>
      <c r="W13" s="46" t="str">
        <f>IF(AND('Mapa final'!$AB$29="Muy Alta",'Mapa final'!$AD$29="Catastrófico"),CONCATENATE("R8C",'Mapa final'!$R$29),"")</f>
        <v/>
      </c>
      <c r="X13" s="114" t="str">
        <f>IF(AND('Mapa final'!$AB$30="Muy Alta",'Mapa final'!$AD$30="Catastrófico"),CONCATENATE("R8C",'Mapa final'!$R$30),"")</f>
        <v/>
      </c>
      <c r="Y13" s="58"/>
      <c r="Z13" s="378"/>
      <c r="AA13" s="379"/>
      <c r="AB13" s="379"/>
      <c r="AC13" s="379"/>
      <c r="AD13" s="379"/>
      <c r="AE13" s="380"/>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row>
    <row r="14" spans="1:76" ht="15" customHeight="1" x14ac:dyDescent="0.25">
      <c r="A14" s="58"/>
      <c r="B14" s="356"/>
      <c r="C14" s="356"/>
      <c r="D14" s="357"/>
      <c r="E14" s="371"/>
      <c r="F14" s="372"/>
      <c r="G14" s="372"/>
      <c r="H14" s="372"/>
      <c r="I14" s="370"/>
      <c r="J14" s="119" t="str">
        <f>IF(AND('Mapa final'!$AB$31="Muy Alta",'Mapa final'!$AD$31="Leve"),CONCATENATE("R9C",'Mapa final'!$R$31),"")</f>
        <v/>
      </c>
      <c r="K14" s="44" t="str">
        <f>IF(AND('Mapa final'!$AB$32="Muy Alta",'Mapa final'!$AD$32="Leve"),CONCATENATE("R9C",'Mapa final'!$R$32),"")</f>
        <v/>
      </c>
      <c r="L14" s="120" t="str">
        <f>IF(AND('Mapa final'!$AB$33="Muy Alta",'Mapa final'!$AD$33="Leve"),CONCATENATE("R9C",'Mapa final'!$R$33),"")</f>
        <v/>
      </c>
      <c r="M14" s="119" t="str">
        <f>IF(AND('Mapa final'!$AB$31="Muy Alta",'Mapa final'!$AD$31="Menor"),CONCATENATE("R9C",'Mapa final'!$R$31),"")</f>
        <v/>
      </c>
      <c r="N14" s="44" t="str">
        <f>IF(AND('Mapa final'!$AB$32="Muy Alta",'Mapa final'!$AD$32="Menor"),CONCATENATE("R9C",'Mapa final'!$R$32),"")</f>
        <v/>
      </c>
      <c r="O14" s="44" t="str">
        <f>IF(AND('Mapa final'!$AB$33="Muy Alta",'Mapa final'!$AD$33="Menor"),CONCATENATE("R9C",'Mapa final'!$R$33),"")</f>
        <v/>
      </c>
      <c r="P14" s="119" t="str">
        <f>IF(AND('Mapa final'!$AB$31="Muy Alta",'Mapa final'!$AD$31="Moderado"),CONCATENATE("R9C",'Mapa final'!$R$31),"")</f>
        <v/>
      </c>
      <c r="Q14" s="44" t="str">
        <f>IF(AND('Mapa final'!$AB$32="Muy Alta",'Mapa final'!$AD$32="Moderado"),CONCATENATE("R9C",'Mapa final'!$R$32),"")</f>
        <v/>
      </c>
      <c r="R14" s="120" t="str">
        <f>IF(AND('Mapa final'!$AB$33="Muy Alta",'Mapa final'!$AD$33="Moderado"),CONCATENATE("R9C",'Mapa final'!$R$33),"")</f>
        <v/>
      </c>
      <c r="S14" s="119" t="str">
        <f>IF(AND('Mapa final'!$AB$31="Muy Alta",'Mapa final'!$AD$31="Mayor"),CONCATENATE("R9C",'Mapa final'!$R$31),"")</f>
        <v/>
      </c>
      <c r="T14" s="44" t="str">
        <f>IF(AND('Mapa final'!$AB$32="Muy Alta",'Mapa final'!$AD$32="Mayor"),CONCATENATE("R9C",'Mapa final'!$R$32),"")</f>
        <v/>
      </c>
      <c r="U14" s="120" t="str">
        <f>IF(AND('Mapa final'!$AB$33="Muy Alta",'Mapa final'!$AD$33="Mayor"),CONCATENATE("R9C",'Mapa final'!$R$33),"")</f>
        <v/>
      </c>
      <c r="V14" s="45" t="str">
        <f>IF(AND('Mapa final'!$AB$31="Muy Alta",'Mapa final'!$AD$31="Catastrófico"),CONCATENATE("R9C",'Mapa final'!$R$31),"")</f>
        <v/>
      </c>
      <c r="W14" s="46" t="str">
        <f>IF(AND('Mapa final'!$AB$32="Muy Alta",'Mapa final'!$AD$32="Catastrófico"),CONCATENATE("R9C",'Mapa final'!$R$32),"")</f>
        <v/>
      </c>
      <c r="X14" s="114" t="str">
        <f>IF(AND('Mapa final'!$AB$33="Muy Alta",'Mapa final'!$AD$33="Catastrófico"),CONCATENATE("R9C",'Mapa final'!$R$33),"")</f>
        <v/>
      </c>
      <c r="Y14" s="58"/>
      <c r="Z14" s="378"/>
      <c r="AA14" s="379"/>
      <c r="AB14" s="379"/>
      <c r="AC14" s="379"/>
      <c r="AD14" s="379"/>
      <c r="AE14" s="380"/>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row>
    <row r="15" spans="1:76" ht="15" customHeight="1" x14ac:dyDescent="0.25">
      <c r="A15" s="58"/>
      <c r="B15" s="356"/>
      <c r="C15" s="356"/>
      <c r="D15" s="357"/>
      <c r="E15" s="371"/>
      <c r="F15" s="372"/>
      <c r="G15" s="372"/>
      <c r="H15" s="372"/>
      <c r="I15" s="370"/>
      <c r="J15" s="119" t="str">
        <f>IF(AND('Mapa final'!$AB$34="Muy Alta",'Mapa final'!$AD$34="Leve"),CONCATENATE("R10C",'Mapa final'!$R$34),"")</f>
        <v/>
      </c>
      <c r="K15" s="44" t="str">
        <f>IF(AND('Mapa final'!$AB$35="Muy Alta",'Mapa final'!$AD$35="Leve"),CONCATENATE("R10C",'Mapa final'!$R$35),"")</f>
        <v/>
      </c>
      <c r="L15" s="120" t="str">
        <f>IF(AND('Mapa final'!$AB$36="Muy Alta",'Mapa final'!$AD$36="Leve"),CONCATENATE("R10C",'Mapa final'!$R$36),"")</f>
        <v/>
      </c>
      <c r="M15" s="119" t="str">
        <f>IF(AND('Mapa final'!$AB$34="Muy Alta",'Mapa final'!$AD$34="Menor"),CONCATENATE("R10C",'Mapa final'!$R$34),"")</f>
        <v/>
      </c>
      <c r="N15" s="44" t="str">
        <f>IF(AND('Mapa final'!$AB$35="Muy Alta",'Mapa final'!$AD$35="Menor"),CONCATENATE("R10C",'Mapa final'!$R$35),"")</f>
        <v/>
      </c>
      <c r="O15" s="44" t="str">
        <f>IF(AND('Mapa final'!$AB$36="Muy Alta",'Mapa final'!$AD$36="Menor"),CONCATENATE("R10C",'Mapa final'!$R$36),"")</f>
        <v/>
      </c>
      <c r="P15" s="119" t="str">
        <f>IF(AND('Mapa final'!$AB$34="Muy Alta",'Mapa final'!$AD$34="Moderado"),CONCATENATE("R10C",'Mapa final'!$R$34),"")</f>
        <v/>
      </c>
      <c r="Q15" s="44" t="str">
        <f>IF(AND('Mapa final'!$AB$35="Muy Alta",'Mapa final'!$AD$35="Moderado"),CONCATENATE("R10C",'Mapa final'!$R$35),"")</f>
        <v/>
      </c>
      <c r="R15" s="120" t="str">
        <f>IF(AND('Mapa final'!$AB$36="Muy Alta",'Mapa final'!$AD$36="Moderado"),CONCATENATE("R10C",'Mapa final'!$R$36),"")</f>
        <v/>
      </c>
      <c r="S15" s="119" t="str">
        <f>IF(AND('Mapa final'!$AB$34="Muy Alta",'Mapa final'!$AD$34="Mayor"),CONCATENATE("R10C",'Mapa final'!$R$34),"")</f>
        <v/>
      </c>
      <c r="T15" s="44" t="str">
        <f>IF(AND('Mapa final'!$AB$35="Muy Alta",'Mapa final'!$AD$35="Mayor"),CONCATENATE("R10C",'Mapa final'!$R$35),"")</f>
        <v/>
      </c>
      <c r="U15" s="120" t="str">
        <f>IF(AND('Mapa final'!$AB$36="Muy Alta",'Mapa final'!$AD$36="Mayor"),CONCATENATE("R10C",'Mapa final'!$R$36),"")</f>
        <v/>
      </c>
      <c r="V15" s="45" t="str">
        <f>IF(AND('Mapa final'!$AB$34="Muy Alta",'Mapa final'!$AD$34="Catastrófico"),CONCATENATE("R10C",'Mapa final'!$R$34),"")</f>
        <v/>
      </c>
      <c r="W15" s="46" t="str">
        <f>IF(AND('Mapa final'!$AB$35="Muy Alta",'Mapa final'!$AD$35="Catastrófico"),CONCATENATE("R10C",'Mapa final'!$R$35),"")</f>
        <v/>
      </c>
      <c r="X15" s="114" t="str">
        <f>IF(AND('Mapa final'!$AB$36="Muy Alta",'Mapa final'!$AD$36="Catastrófico"),CONCATENATE("R10C",'Mapa final'!$R$36),"")</f>
        <v/>
      </c>
      <c r="Y15" s="58"/>
      <c r="Z15" s="378"/>
      <c r="AA15" s="379"/>
      <c r="AB15" s="379"/>
      <c r="AC15" s="379"/>
      <c r="AD15" s="379"/>
      <c r="AE15" s="380"/>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row>
    <row r="16" spans="1:76" ht="15" customHeight="1" x14ac:dyDescent="0.25">
      <c r="A16" s="58"/>
      <c r="B16" s="356"/>
      <c r="C16" s="356"/>
      <c r="D16" s="357"/>
      <c r="E16" s="371"/>
      <c r="F16" s="372"/>
      <c r="G16" s="372"/>
      <c r="H16" s="372"/>
      <c r="I16" s="370"/>
      <c r="J16" s="119" t="str">
        <f>IF(AND('Mapa final'!$AB$37="Muy Alta",'Mapa final'!$AD$37="Leve"),CONCATENATE("R11C",'Mapa final'!$R$37),"")</f>
        <v/>
      </c>
      <c r="K16" s="44" t="str">
        <f>IF(AND('Mapa final'!$AB$38="Muy Alta",'Mapa final'!$AD$38="Leve"),CONCATENATE("R11C",'Mapa final'!$R$38),"")</f>
        <v/>
      </c>
      <c r="L16" s="120" t="str">
        <f>IF(AND('Mapa final'!$AB$39="Muy Alta",'Mapa final'!$AD$39="Leve"),CONCATENATE("R11C",'Mapa final'!$R$39),"")</f>
        <v/>
      </c>
      <c r="M16" s="119" t="str">
        <f>IF(AND('Mapa final'!$AB$37="Muy Alta",'Mapa final'!$AD$37="Menor"),CONCATENATE("R11C",'Mapa final'!$R$37),"")</f>
        <v/>
      </c>
      <c r="N16" s="44" t="str">
        <f>IF(AND('Mapa final'!$AB$38="Muy Alta",'Mapa final'!$AD$38="Menor"),CONCATENATE("R11C",'Mapa final'!$R$38),"")</f>
        <v/>
      </c>
      <c r="O16" s="44" t="str">
        <f>IF(AND('Mapa final'!$AB$39="Muy Alta",'Mapa final'!$AD$39="Menor"),CONCATENATE("R11C",'Mapa final'!$R$39),"")</f>
        <v/>
      </c>
      <c r="P16" s="119" t="str">
        <f>IF(AND('Mapa final'!$AB$37="Muy Alta",'Mapa final'!$AD$37="Moderado"),CONCATENATE("R11C",'Mapa final'!$R$37),"")</f>
        <v/>
      </c>
      <c r="Q16" s="44" t="str">
        <f>IF(AND('Mapa final'!$AB$38="Muy Alta",'Mapa final'!$AD$38="Moderado"),CONCATENATE("R11C",'Mapa final'!$R$38),"")</f>
        <v/>
      </c>
      <c r="R16" s="120" t="str">
        <f>IF(AND('Mapa final'!$AB$39="Muy Alta",'Mapa final'!$AD$39="Moderado"),CONCATENATE("R11C",'Mapa final'!$R$39),"")</f>
        <v/>
      </c>
      <c r="S16" s="119" t="str">
        <f>IF(AND('Mapa final'!$AB$37="Muy Alta",'Mapa final'!$AD$37="Mayor"),CONCATENATE("R11C",'Mapa final'!$R$37),"")</f>
        <v/>
      </c>
      <c r="T16" s="44" t="str">
        <f>IF(AND('Mapa final'!$AB$38="Muy Alta",'Mapa final'!$AD$38="Mayor"),CONCATENATE("R11C",'Mapa final'!$R$38),"")</f>
        <v/>
      </c>
      <c r="U16" s="120" t="str">
        <f>IF(AND('Mapa final'!$AB$39="Muy Alta",'Mapa final'!$AD$39="Mayor"),CONCATENATE("R11C",'Mapa final'!$R$39),"")</f>
        <v/>
      </c>
      <c r="V16" s="45" t="str">
        <f>IF(AND('Mapa final'!$AB$37="Muy Alta",'Mapa final'!$AD$37="Catastrófico"),CONCATENATE("R11C",'Mapa final'!$R$37),"")</f>
        <v/>
      </c>
      <c r="W16" s="46" t="str">
        <f>IF(AND('Mapa final'!$AB$38="Muy Alta",'Mapa final'!$AD$38="Catastrófico"),CONCATENATE("R11C",'Mapa final'!$R$38),"")</f>
        <v/>
      </c>
      <c r="X16" s="114" t="str">
        <f>IF(AND('Mapa final'!$AB$39="Muy Alta",'Mapa final'!$AD$39="Catastrófico"),CONCATENATE("R11C",'Mapa final'!$R$39),"")</f>
        <v/>
      </c>
      <c r="Y16" s="58"/>
      <c r="Z16" s="378"/>
      <c r="AA16" s="379"/>
      <c r="AB16" s="379"/>
      <c r="AC16" s="379"/>
      <c r="AD16" s="379"/>
      <c r="AE16" s="380"/>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row>
    <row r="17" spans="1:61" ht="15" customHeight="1" x14ac:dyDescent="0.25">
      <c r="A17" s="58"/>
      <c r="B17" s="356"/>
      <c r="C17" s="356"/>
      <c r="D17" s="357"/>
      <c r="E17" s="371"/>
      <c r="F17" s="372"/>
      <c r="G17" s="372"/>
      <c r="H17" s="372"/>
      <c r="I17" s="370"/>
      <c r="J17" s="119" t="str">
        <f>IF(AND('Mapa final'!$AB$40="Muy Alta",'Mapa final'!$AD$40="Leve"),CONCATENATE("R12C",'Mapa final'!$R$40),"")</f>
        <v/>
      </c>
      <c r="K17" s="44" t="str">
        <f>IF(AND('Mapa final'!$AB$41="Muy Alta",'Mapa final'!$AD$41="Leve"),CONCATENATE("R12C",'Mapa final'!$R$41),"")</f>
        <v/>
      </c>
      <c r="L17" s="120" t="str">
        <f>IF(AND('Mapa final'!$AB$42="Muy Alta",'Mapa final'!$AD$42="Leve"),CONCATENATE("R12C",'Mapa final'!$R$42),"")</f>
        <v/>
      </c>
      <c r="M17" s="119" t="str">
        <f>IF(AND('Mapa final'!$AB$40="Muy Alta",'Mapa final'!$AD$40="Menor"),CONCATENATE("R12C",'Mapa final'!$R$40),"")</f>
        <v/>
      </c>
      <c r="N17" s="44" t="str">
        <f>IF(AND('Mapa final'!$AB$41="Muy Alta",'Mapa final'!$AD$41="Menor"),CONCATENATE("R12C",'Mapa final'!$R$41),"")</f>
        <v/>
      </c>
      <c r="O17" s="44" t="str">
        <f>IF(AND('Mapa final'!$AB$42="Muy Alta",'Mapa final'!$AD$42="Menor"),CONCATENATE("R12C",'Mapa final'!$R$42),"")</f>
        <v/>
      </c>
      <c r="P17" s="119" t="str">
        <f>IF(AND('Mapa final'!$AB$40="Muy Alta",'Mapa final'!$AD$40="Moderado"),CONCATENATE("R12C",'Mapa final'!$R$40),"")</f>
        <v/>
      </c>
      <c r="Q17" s="44" t="str">
        <f>IF(AND('Mapa final'!$AB$41="Muy Alta",'Mapa final'!$AD$41="Moderado"),CONCATENATE("R12C",'Mapa final'!$R$41),"")</f>
        <v/>
      </c>
      <c r="R17" s="120" t="str">
        <f>IF(AND('Mapa final'!$AB$42="Muy Alta",'Mapa final'!$AD$42="Moderado"),CONCATENATE("R12C",'Mapa final'!$R$42),"")</f>
        <v/>
      </c>
      <c r="S17" s="119" t="str">
        <f>IF(AND('Mapa final'!$AB$40="Muy Alta",'Mapa final'!$AD$40="Mayor"),CONCATENATE("R12C",'Mapa final'!$R$40),"")</f>
        <v/>
      </c>
      <c r="T17" s="44" t="str">
        <f>IF(AND('Mapa final'!$AB$41="Muy Alta",'Mapa final'!$AD$41="Mayor"),CONCATENATE("R12C",'Mapa final'!$R$41),"")</f>
        <v/>
      </c>
      <c r="U17" s="120" t="str">
        <f>IF(AND('Mapa final'!$AB$42="Muy Alta",'Mapa final'!$AD$42="Mayor"),CONCATENATE("R12C",'Mapa final'!$R$42),"")</f>
        <v/>
      </c>
      <c r="V17" s="45" t="str">
        <f>IF(AND('Mapa final'!$AB$40="Muy Alta",'Mapa final'!$AD$40="Catastrófico"),CONCATENATE("R12C",'Mapa final'!$R$40),"")</f>
        <v/>
      </c>
      <c r="W17" s="46" t="str">
        <f>IF(AND('Mapa final'!$AB$41="Muy Alta",'Mapa final'!$AD$41="Catastrófico"),CONCATENATE("R12C",'Mapa final'!$R$41),"")</f>
        <v/>
      </c>
      <c r="X17" s="114" t="str">
        <f>IF(AND('Mapa final'!$AB$42="Muy Alta",'Mapa final'!$AD$42="Catastrófico"),CONCATENATE("R12C",'Mapa final'!$R$42),"")</f>
        <v/>
      </c>
      <c r="Y17" s="58"/>
      <c r="Z17" s="378"/>
      <c r="AA17" s="379"/>
      <c r="AB17" s="379"/>
      <c r="AC17" s="379"/>
      <c r="AD17" s="379"/>
      <c r="AE17" s="380"/>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row>
    <row r="18" spans="1:61" ht="15" customHeight="1" x14ac:dyDescent="0.25">
      <c r="A18" s="58"/>
      <c r="B18" s="356"/>
      <c r="C18" s="356"/>
      <c r="D18" s="357"/>
      <c r="E18" s="371"/>
      <c r="F18" s="372"/>
      <c r="G18" s="372"/>
      <c r="H18" s="372"/>
      <c r="I18" s="370"/>
      <c r="J18" s="119" t="str">
        <f>IF(AND('Mapa final'!$AB$43="Muy Alta",'Mapa final'!$AD$43="Leve"),CONCATENATE("R13C",'Mapa final'!$R$43),"")</f>
        <v/>
      </c>
      <c r="K18" s="44" t="str">
        <f>IF(AND('Mapa final'!$AB$44="Muy Alta",'Mapa final'!$AD$44="Leve"),CONCATENATE("R13C",'Mapa final'!$R$44),"")</f>
        <v/>
      </c>
      <c r="L18" s="120" t="str">
        <f>IF(AND('Mapa final'!$AB$45="Muy Alta",'Mapa final'!$AD$45="Leve"),CONCATENATE("R13C",'Mapa final'!$R$45),"")</f>
        <v/>
      </c>
      <c r="M18" s="119" t="str">
        <f>IF(AND('Mapa final'!$AB$43="Muy Alta",'Mapa final'!$AD$43="Menor"),CONCATENATE("R13C",'Mapa final'!$R$43),"")</f>
        <v/>
      </c>
      <c r="N18" s="44" t="str">
        <f>IF(AND('Mapa final'!$AB$44="Muy Alta",'Mapa final'!$AD$44="Menor"),CONCATENATE("R13C",'Mapa final'!$R$44),"")</f>
        <v/>
      </c>
      <c r="O18" s="44" t="str">
        <f>IF(AND('Mapa final'!$AB$45="Muy Alta",'Mapa final'!$AD$45="Menor"),CONCATENATE("R13C",'Mapa final'!$R$45),"")</f>
        <v/>
      </c>
      <c r="P18" s="119" t="str">
        <f>IF(AND('Mapa final'!$AB$43="Muy Alta",'Mapa final'!$AD$43="Moderado"),CONCATENATE("R13C",'Mapa final'!$R$43),"")</f>
        <v/>
      </c>
      <c r="Q18" s="44" t="str">
        <f>IF(AND('Mapa final'!$AB$44="Muy Alta",'Mapa final'!$AD$44="Moderado"),CONCATENATE("R13C",'Mapa final'!$R$44),"")</f>
        <v/>
      </c>
      <c r="R18" s="120" t="str">
        <f>IF(AND('Mapa final'!$AB$45="Muy Alta",'Mapa final'!$AD$45="Moderado"),CONCATENATE("R13C",'Mapa final'!$R$45),"")</f>
        <v/>
      </c>
      <c r="S18" s="119" t="str">
        <f>IF(AND('Mapa final'!$AB$43="Muy Alta",'Mapa final'!$AD$43="Mayor"),CONCATENATE("R13C",'Mapa final'!$R$43),"")</f>
        <v/>
      </c>
      <c r="T18" s="44" t="str">
        <f>IF(AND('Mapa final'!$AB$44="Muy Alta",'Mapa final'!$AD$44="Mayor"),CONCATENATE("R13C",'Mapa final'!$R$44),"")</f>
        <v/>
      </c>
      <c r="U18" s="120" t="str">
        <f>IF(AND('Mapa final'!$AB$45="Muy Alta",'Mapa final'!$AD$45="Mayor"),CONCATENATE("R13C",'Mapa final'!$R$45),"")</f>
        <v/>
      </c>
      <c r="V18" s="45" t="str">
        <f>IF(AND('Mapa final'!$AB$43="Muy Alta",'Mapa final'!$AD$43="Catastrófico"),CONCATENATE("R13C",'Mapa final'!$R$43),"")</f>
        <v/>
      </c>
      <c r="W18" s="46" t="str">
        <f>IF(AND('Mapa final'!$AB$44="Muy Alta",'Mapa final'!$AD$44="Catastrófico"),CONCATENATE("R13C",'Mapa final'!$R$44),"")</f>
        <v/>
      </c>
      <c r="X18" s="114" t="str">
        <f>IF(AND('Mapa final'!$AB$45="Muy Alta",'Mapa final'!$AD$45="Catastrófico"),CONCATENATE("R13C",'Mapa final'!$R$45),"")</f>
        <v/>
      </c>
      <c r="Y18" s="58"/>
      <c r="Z18" s="378"/>
      <c r="AA18" s="379"/>
      <c r="AB18" s="379"/>
      <c r="AC18" s="379"/>
      <c r="AD18" s="379"/>
      <c r="AE18" s="380"/>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row>
    <row r="19" spans="1:61" ht="15" customHeight="1" x14ac:dyDescent="0.25">
      <c r="A19" s="58"/>
      <c r="B19" s="356"/>
      <c r="C19" s="356"/>
      <c r="D19" s="357"/>
      <c r="E19" s="371"/>
      <c r="F19" s="372"/>
      <c r="G19" s="372"/>
      <c r="H19" s="372"/>
      <c r="I19" s="370"/>
      <c r="J19" s="119" t="e">
        <f>IF(AND('Mapa final'!#REF!="Muy Alta",'Mapa final'!#REF!="Leve"),CONCATENATE("R14C",'Mapa final'!#REF!),"")</f>
        <v>#REF!</v>
      </c>
      <c r="K19" s="44" t="e">
        <f>IF(AND('Mapa final'!#REF!="Muy Alta",'Mapa final'!#REF!="Leve"),CONCATENATE("R14C",'Mapa final'!#REF!),"")</f>
        <v>#REF!</v>
      </c>
      <c r="L19" s="120" t="e">
        <f>IF(AND('Mapa final'!#REF!="Muy Alta",'Mapa final'!#REF!="Leve"),CONCATENATE("R14C",'Mapa final'!#REF!),"")</f>
        <v>#REF!</v>
      </c>
      <c r="M19" s="119" t="e">
        <f>IF(AND('Mapa final'!#REF!="Muy Alta",'Mapa final'!#REF!="Menor"),CONCATENATE("R14C",'Mapa final'!#REF!),"")</f>
        <v>#REF!</v>
      </c>
      <c r="N19" s="44" t="e">
        <f>IF(AND('Mapa final'!#REF!="Muy Alta",'Mapa final'!#REF!="Menor"),CONCATENATE("R14C",'Mapa final'!#REF!),"")</f>
        <v>#REF!</v>
      </c>
      <c r="O19" s="44" t="e">
        <f>IF(AND('Mapa final'!#REF!="Muy Alta",'Mapa final'!#REF!="Menor"),CONCATENATE("R14C",'Mapa final'!#REF!),"")</f>
        <v>#REF!</v>
      </c>
      <c r="P19" s="119" t="e">
        <f>IF(AND('Mapa final'!#REF!="Muy Alta",'Mapa final'!#REF!="Moderado"),CONCATENATE("R14C",'Mapa final'!#REF!),"")</f>
        <v>#REF!</v>
      </c>
      <c r="Q19" s="44" t="e">
        <f>IF(AND('Mapa final'!#REF!="Muy Alta",'Mapa final'!#REF!="Moderado"),CONCATENATE("R14C",'Mapa final'!#REF!),"")</f>
        <v>#REF!</v>
      </c>
      <c r="R19" s="120" t="e">
        <f>IF(AND('Mapa final'!#REF!="Muy Alta",'Mapa final'!#REF!="Moderado"),CONCATENATE("R14C",'Mapa final'!#REF!),"")</f>
        <v>#REF!</v>
      </c>
      <c r="S19" s="119" t="e">
        <f>IF(AND('Mapa final'!#REF!="Muy Alta",'Mapa final'!#REF!="Mayor"),CONCATENATE("R14C",'Mapa final'!#REF!),"")</f>
        <v>#REF!</v>
      </c>
      <c r="T19" s="44" t="e">
        <f>IF(AND('Mapa final'!#REF!="Muy Alta",'Mapa final'!#REF!="Mayor"),CONCATENATE("R14C",'Mapa final'!#REF!),"")</f>
        <v>#REF!</v>
      </c>
      <c r="U19" s="120" t="e">
        <f>IF(AND('Mapa final'!#REF!="Muy Alta",'Mapa final'!#REF!="Mayor"),CONCATENATE("R14C",'Mapa final'!#REF!),"")</f>
        <v>#REF!</v>
      </c>
      <c r="V19" s="45" t="e">
        <f>IF(AND('Mapa final'!#REF!="Muy Alta",'Mapa final'!#REF!="Catastrófico"),CONCATENATE("R14C",'Mapa final'!#REF!),"")</f>
        <v>#REF!</v>
      </c>
      <c r="W19" s="46" t="e">
        <f>IF(AND('Mapa final'!#REF!="Muy Alta",'Mapa final'!#REF!="Catastrófico"),CONCATENATE("R14C",'Mapa final'!#REF!),"")</f>
        <v>#REF!</v>
      </c>
      <c r="X19" s="114" t="e">
        <f>IF(AND('Mapa final'!#REF!="Muy Alta",'Mapa final'!#REF!="Catastrófico"),CONCATENATE("R14C",'Mapa final'!#REF!),"")</f>
        <v>#REF!</v>
      </c>
      <c r="Y19" s="58"/>
      <c r="Z19" s="378"/>
      <c r="AA19" s="379"/>
      <c r="AB19" s="379"/>
      <c r="AC19" s="379"/>
      <c r="AD19" s="379"/>
      <c r="AE19" s="380"/>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row>
    <row r="20" spans="1:61" ht="15" customHeight="1" x14ac:dyDescent="0.25">
      <c r="A20" s="58"/>
      <c r="B20" s="356"/>
      <c r="C20" s="356"/>
      <c r="D20" s="357"/>
      <c r="E20" s="371"/>
      <c r="F20" s="372"/>
      <c r="G20" s="372"/>
      <c r="H20" s="372"/>
      <c r="I20" s="370"/>
      <c r="J20" s="119" t="str">
        <f>IF(AND('Mapa final'!$AB$46="Muy Alta",'Mapa final'!$AD$46="Leve"),CONCATENATE("R15C",'Mapa final'!$R$46),"")</f>
        <v/>
      </c>
      <c r="K20" s="44" t="str">
        <f>IF(AND('Mapa final'!$AB$47="Muy Alta",'Mapa final'!$AD$47="Leve"),CONCATENATE("R15C",'Mapa final'!$R$47),"")</f>
        <v/>
      </c>
      <c r="L20" s="120" t="str">
        <f>IF(AND('Mapa final'!$AB$48="Muy Alta",'Mapa final'!$AD$48="Leve"),CONCATENATE("R15C",'Mapa final'!$R$48),"")</f>
        <v/>
      </c>
      <c r="M20" s="119" t="str">
        <f>IF(AND('Mapa final'!$AB$46="Muy Alta",'Mapa final'!$AD$46="Menor"),CONCATENATE("R15C",'Mapa final'!$R$46),"")</f>
        <v/>
      </c>
      <c r="N20" s="44" t="str">
        <f>IF(AND('Mapa final'!$AB$47="Muy Alta",'Mapa final'!$AD$47="Menor"),CONCATENATE("R15C",'Mapa final'!$R$47),"")</f>
        <v/>
      </c>
      <c r="O20" s="44" t="str">
        <f>IF(AND('Mapa final'!$AB$48="Muy Alta",'Mapa final'!$AD$48="Menor"),CONCATENATE("R15C",'Mapa final'!$R$48),"")</f>
        <v/>
      </c>
      <c r="P20" s="119" t="str">
        <f>IF(AND('Mapa final'!$AB$46="Muy Alta",'Mapa final'!$AD$46="Moderado"),CONCATENATE("R15C",'Mapa final'!$R$46),"")</f>
        <v/>
      </c>
      <c r="Q20" s="44" t="str">
        <f>IF(AND('Mapa final'!$AB$47="Muy Alta",'Mapa final'!$AD$47="Moderado"),CONCATENATE("R15C",'Mapa final'!$R$47),"")</f>
        <v/>
      </c>
      <c r="R20" s="120" t="str">
        <f>IF(AND('Mapa final'!$AB$48="Muy Alta",'Mapa final'!$AD$48="Moderado"),CONCATENATE("R15C",'Mapa final'!$R$48),"")</f>
        <v/>
      </c>
      <c r="S20" s="119" t="str">
        <f>IF(AND('Mapa final'!$AB$46="Muy Alta",'Mapa final'!$AD$46="Mayor"),CONCATENATE("R15C",'Mapa final'!$R$46),"")</f>
        <v/>
      </c>
      <c r="T20" s="44" t="str">
        <f>IF(AND('Mapa final'!$AB$47="Muy Alta",'Mapa final'!$AD$47="Mayor"),CONCATENATE("R15C",'Mapa final'!$R$47),"")</f>
        <v/>
      </c>
      <c r="U20" s="120" t="str">
        <f>IF(AND('Mapa final'!$AB$48="Muy Alta",'Mapa final'!$AD$48="Mayor"),CONCATENATE("R15C",'Mapa final'!$R$48),"")</f>
        <v/>
      </c>
      <c r="V20" s="45" t="str">
        <f>IF(AND('Mapa final'!$AB$46="Muy Alta",'Mapa final'!$AD$46="Catastrófico"),CONCATENATE("R15C",'Mapa final'!$R$46),"")</f>
        <v/>
      </c>
      <c r="W20" s="46" t="str">
        <f>IF(AND('Mapa final'!$AB$47="Muy Alta",'Mapa final'!$AD$47="Catastrófico"),CONCATENATE("R15C",'Mapa final'!$R$47),"")</f>
        <v/>
      </c>
      <c r="X20" s="114" t="str">
        <f>IF(AND('Mapa final'!$AB$48="Muy Alta",'Mapa final'!$AD$48="Catastrófico"),CONCATENATE("R15C",'Mapa final'!$R$48),"")</f>
        <v/>
      </c>
      <c r="Y20" s="58"/>
      <c r="Z20" s="378"/>
      <c r="AA20" s="379"/>
      <c r="AB20" s="379"/>
      <c r="AC20" s="379"/>
      <c r="AD20" s="379"/>
      <c r="AE20" s="380"/>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row>
    <row r="21" spans="1:61" ht="15" customHeight="1" x14ac:dyDescent="0.25">
      <c r="A21" s="58"/>
      <c r="B21" s="356"/>
      <c r="C21" s="356"/>
      <c r="D21" s="357"/>
      <c r="E21" s="371"/>
      <c r="F21" s="372"/>
      <c r="G21" s="372"/>
      <c r="H21" s="372"/>
      <c r="I21" s="370"/>
      <c r="J21" s="119" t="str">
        <f>IF(AND('Mapa final'!$AB$49="Muy Alta",'Mapa final'!$AD$49="Leve"),CONCATENATE("R16C",'Mapa final'!$R$49),"")</f>
        <v/>
      </c>
      <c r="K21" s="44" t="str">
        <f>IF(AND('Mapa final'!$AB$50="Muy Alta",'Mapa final'!$AD$50="Leve"),CONCATENATE("R16C",'Mapa final'!$R$50),"")</f>
        <v/>
      </c>
      <c r="L21" s="120" t="str">
        <f>IF(AND('Mapa final'!$AB$51="Muy Alta",'Mapa final'!$AD$51="Leve"),CONCATENATE("R16C",'Mapa final'!$R$51),"")</f>
        <v/>
      </c>
      <c r="M21" s="119" t="str">
        <f>IF(AND('Mapa final'!$AB$49="Muy Alta",'Mapa final'!$AD$49="Menor"),CONCATENATE("R16C",'Mapa final'!$R$49),"")</f>
        <v/>
      </c>
      <c r="N21" s="44" t="str">
        <f>IF(AND('Mapa final'!$AB$50="Muy Alta",'Mapa final'!$AD$50="Menor"),CONCATENATE("R16C",'Mapa final'!$R$50),"")</f>
        <v/>
      </c>
      <c r="O21" s="44" t="str">
        <f>IF(AND('Mapa final'!$AB$51="Muy Alta",'Mapa final'!$AD$51="Menor"),CONCATENATE("R16C",'Mapa final'!$R$51),"")</f>
        <v/>
      </c>
      <c r="P21" s="119" t="str">
        <f>IF(AND('Mapa final'!$AB$49="Muy Alta",'Mapa final'!$AD$49="Moderado"),CONCATENATE("R16C",'Mapa final'!$R$49),"")</f>
        <v/>
      </c>
      <c r="Q21" s="44" t="str">
        <f>IF(AND('Mapa final'!$AB$50="Muy Alta",'Mapa final'!$AD$50="Moderado"),CONCATENATE("R16C",'Mapa final'!$R$50),"")</f>
        <v/>
      </c>
      <c r="R21" s="120" t="str">
        <f>IF(AND('Mapa final'!$AB$51="Muy Alta",'Mapa final'!$AD$51="Moderado"),CONCATENATE("R16C",'Mapa final'!$R$51),"")</f>
        <v/>
      </c>
      <c r="S21" s="119" t="str">
        <f>IF(AND('Mapa final'!$AB$49="Muy Alta",'Mapa final'!$AD$49="Mayor"),CONCATENATE("R16C",'Mapa final'!$R$49),"")</f>
        <v/>
      </c>
      <c r="T21" s="44" t="str">
        <f>IF(AND('Mapa final'!$AB$50="Muy Alta",'Mapa final'!$AD$50="Mayor"),CONCATENATE("R16C",'Mapa final'!$R$50),"")</f>
        <v/>
      </c>
      <c r="U21" s="120" t="str">
        <f>IF(AND('Mapa final'!$AB$51="Muy Alta",'Mapa final'!$AD$51="Mayor"),CONCATENATE("R16C",'Mapa final'!$R$51),"")</f>
        <v/>
      </c>
      <c r="V21" s="45" t="str">
        <f>IF(AND('Mapa final'!$AB$49="Muy Alta",'Mapa final'!$AD$49="Catastrófico"),CONCATENATE("R16C",'Mapa final'!$R$49),"")</f>
        <v/>
      </c>
      <c r="W21" s="46" t="str">
        <f>IF(AND('Mapa final'!$AB$50="Muy Alta",'Mapa final'!$AD$50="Catastrófico"),CONCATENATE("R16C",'Mapa final'!$R$50),"")</f>
        <v/>
      </c>
      <c r="X21" s="114" t="str">
        <f>IF(AND('Mapa final'!$AB$51="Muy Alta",'Mapa final'!$AD$51="Catastrófico"),CONCATENATE("R16C",'Mapa final'!$R$51),"")</f>
        <v/>
      </c>
      <c r="Y21" s="58"/>
      <c r="Z21" s="378"/>
      <c r="AA21" s="379"/>
      <c r="AB21" s="379"/>
      <c r="AC21" s="379"/>
      <c r="AD21" s="379"/>
      <c r="AE21" s="380"/>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row>
    <row r="22" spans="1:61" ht="15" customHeight="1" x14ac:dyDescent="0.25">
      <c r="A22" s="58"/>
      <c r="B22" s="356"/>
      <c r="C22" s="356"/>
      <c r="D22" s="357"/>
      <c r="E22" s="371"/>
      <c r="F22" s="372"/>
      <c r="G22" s="372"/>
      <c r="H22" s="372"/>
      <c r="I22" s="370"/>
      <c r="J22" s="119" t="str">
        <f>IF(AND('Mapa final'!$AB$52="Muy Alta",'Mapa final'!$AD$52="Leve"),CONCATENATE("R17C",'Mapa final'!$R$52),"")</f>
        <v/>
      </c>
      <c r="K22" s="44" t="str">
        <f>IF(AND('Mapa final'!$AB$53="Muy Alta",'Mapa final'!$AD$53="Leve"),CONCATENATE("R17C",'Mapa final'!$R$53),"")</f>
        <v/>
      </c>
      <c r="L22" s="120" t="str">
        <f>IF(AND('Mapa final'!$AB$54="Muy Alta",'Mapa final'!$AD$54="Leve"),CONCATENATE("R17C",'Mapa final'!$R$54),"")</f>
        <v/>
      </c>
      <c r="M22" s="119" t="str">
        <f>IF(AND('Mapa final'!$AB$52="Muy Alta",'Mapa final'!$AD$52="Menor"),CONCATENATE("R17C",'Mapa final'!$R$52),"")</f>
        <v/>
      </c>
      <c r="N22" s="44" t="str">
        <f>IF(AND('Mapa final'!$AB$53="Muy Alta",'Mapa final'!$AD$53="Menor"),CONCATENATE("R17C",'Mapa final'!$R$53),"")</f>
        <v/>
      </c>
      <c r="O22" s="44" t="str">
        <f>IF(AND('Mapa final'!$AB$54="Muy Alta",'Mapa final'!$AD$54="Menor"),CONCATENATE("R17C",'Mapa final'!$R$54),"")</f>
        <v/>
      </c>
      <c r="P22" s="119" t="str">
        <f>IF(AND('Mapa final'!$AB$52="Muy Alta",'Mapa final'!$AD$52="Moderado"),CONCATENATE("R17C",'Mapa final'!$R$52),"")</f>
        <v/>
      </c>
      <c r="Q22" s="44" t="str">
        <f>IF(AND('Mapa final'!$AB$53="Muy Alta",'Mapa final'!$AD$53="Moderado"),CONCATENATE("R17C",'Mapa final'!$R$53),"")</f>
        <v/>
      </c>
      <c r="R22" s="120" t="str">
        <f>IF(AND('Mapa final'!$AB$54="Muy Alta",'Mapa final'!$AD$54="Moderado"),CONCATENATE("R17C",'Mapa final'!$R$54),"")</f>
        <v/>
      </c>
      <c r="S22" s="119" t="str">
        <f>IF(AND('Mapa final'!$AB$52="Muy Alta",'Mapa final'!$AD$52="Mayor"),CONCATENATE("R17C",'Mapa final'!$R$52),"")</f>
        <v/>
      </c>
      <c r="T22" s="44" t="str">
        <f>IF(AND('Mapa final'!$AB$53="Muy Alta",'Mapa final'!$AD$53="Mayor"),CONCATENATE("R17C",'Mapa final'!$R$53),"")</f>
        <v/>
      </c>
      <c r="U22" s="120" t="str">
        <f>IF(AND('Mapa final'!$AB$54="Muy Alta",'Mapa final'!$AD$54="Mayor"),CONCATENATE("R17C",'Mapa final'!$R$54),"")</f>
        <v/>
      </c>
      <c r="V22" s="45" t="str">
        <f>IF(AND('Mapa final'!$AB$52="Muy Alta",'Mapa final'!$AD$52="Catastrófico"),CONCATENATE("R17C",'Mapa final'!$R$52),"")</f>
        <v/>
      </c>
      <c r="W22" s="46" t="str">
        <f>IF(AND('Mapa final'!$AB$53="Muy Alta",'Mapa final'!$AD$53="Catastrófico"),CONCATENATE("R17C",'Mapa final'!$R$53),"")</f>
        <v/>
      </c>
      <c r="X22" s="114" t="str">
        <f>IF(AND('Mapa final'!$AB$54="Muy Alta",'Mapa final'!$AD$54="Catastrófico"),CONCATENATE("R17C",'Mapa final'!$R$54),"")</f>
        <v/>
      </c>
      <c r="Y22" s="58"/>
      <c r="Z22" s="378"/>
      <c r="AA22" s="379"/>
      <c r="AB22" s="379"/>
      <c r="AC22" s="379"/>
      <c r="AD22" s="379"/>
      <c r="AE22" s="380"/>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row>
    <row r="23" spans="1:61" ht="15" customHeight="1" x14ac:dyDescent="0.25">
      <c r="A23" s="58"/>
      <c r="B23" s="356"/>
      <c r="C23" s="356"/>
      <c r="D23" s="357"/>
      <c r="E23" s="371"/>
      <c r="F23" s="372"/>
      <c r="G23" s="372"/>
      <c r="H23" s="372"/>
      <c r="I23" s="370"/>
      <c r="J23" s="119" t="str">
        <f>IF(AND('Mapa final'!$AB$55="Muy Alta",'Mapa final'!$AD$55="Leve"),CONCATENATE("R18C",'Mapa final'!$R$55),"")</f>
        <v/>
      </c>
      <c r="K23" s="44" t="str">
        <f>IF(AND('Mapa final'!$AB$56="Muy Alta",'Mapa final'!$AD$56="Leve"),CONCATENATE("R18C",'Mapa final'!$R$56),"")</f>
        <v/>
      </c>
      <c r="L23" s="120" t="str">
        <f>IF(AND('Mapa final'!$AB$57="Muy Alta",'Mapa final'!$AD$57="Leve"),CONCATENATE("R18C",'Mapa final'!$R$57),"")</f>
        <v/>
      </c>
      <c r="M23" s="119" t="str">
        <f>IF(AND('Mapa final'!$AB$55="Muy Alta",'Mapa final'!$AD$55="Menor"),CONCATENATE("R18C",'Mapa final'!$R$55),"")</f>
        <v/>
      </c>
      <c r="N23" s="44" t="str">
        <f>IF(AND('Mapa final'!$AB$56="Muy Alta",'Mapa final'!$AD$56="Menor"),CONCATENATE("R18C",'Mapa final'!$R$56),"")</f>
        <v/>
      </c>
      <c r="O23" s="44" t="str">
        <f>IF(AND('Mapa final'!$AB$57="Muy Alta",'Mapa final'!$AD$57="Menor"),CONCATENATE("R18C",'Mapa final'!$R$57),"")</f>
        <v/>
      </c>
      <c r="P23" s="119" t="str">
        <f>IF(AND('Mapa final'!$AB$55="Muy Alta",'Mapa final'!$AD$55="Moderado"),CONCATENATE("R18C",'Mapa final'!$R$55),"")</f>
        <v/>
      </c>
      <c r="Q23" s="44" t="str">
        <f>IF(AND('Mapa final'!$AB$56="Muy Alta",'Mapa final'!$AD$56="Moderado"),CONCATENATE("R18C",'Mapa final'!$R$56),"")</f>
        <v/>
      </c>
      <c r="R23" s="120" t="str">
        <f>IF(AND('Mapa final'!$AB$57="Muy Alta",'Mapa final'!$AD$57="Moderado"),CONCATENATE("R18C",'Mapa final'!$R$57),"")</f>
        <v/>
      </c>
      <c r="S23" s="119" t="str">
        <f>IF(AND('Mapa final'!$AB$55="Muy Alta",'Mapa final'!$AD$55="Mayor"),CONCATENATE("R18C",'Mapa final'!$R$55),"")</f>
        <v/>
      </c>
      <c r="T23" s="44" t="str">
        <f>IF(AND('Mapa final'!$AB$56="Muy Alta",'Mapa final'!$AD$56="Mayor"),CONCATENATE("R18C",'Mapa final'!$R$56),"")</f>
        <v/>
      </c>
      <c r="U23" s="120" t="str">
        <f>IF(AND('Mapa final'!$AB$57="Muy Alta",'Mapa final'!$AD$57="Mayor"),CONCATENATE("R18C",'Mapa final'!$R$57),"")</f>
        <v/>
      </c>
      <c r="V23" s="45" t="str">
        <f>IF(AND('Mapa final'!$AB$55="Muy Alta",'Mapa final'!$AD$55="Catastrófico"),CONCATENATE("R18C",'Mapa final'!$R$55),"")</f>
        <v/>
      </c>
      <c r="W23" s="46" t="str">
        <f>IF(AND('Mapa final'!$AB$56="Muy Alta",'Mapa final'!$AD$56="Catastrófico"),CONCATENATE("R18C",'Mapa final'!$R$56),"")</f>
        <v/>
      </c>
      <c r="X23" s="114" t="str">
        <f>IF(AND('Mapa final'!$AB$57="Muy Alta",'Mapa final'!$AD$57="Catastrófico"),CONCATENATE("R18C",'Mapa final'!$R$57),"")</f>
        <v/>
      </c>
      <c r="Y23" s="58"/>
      <c r="Z23" s="378"/>
      <c r="AA23" s="379"/>
      <c r="AB23" s="379"/>
      <c r="AC23" s="379"/>
      <c r="AD23" s="379"/>
      <c r="AE23" s="380"/>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row>
    <row r="24" spans="1:61" ht="15" customHeight="1" x14ac:dyDescent="0.25">
      <c r="A24" s="58"/>
      <c r="B24" s="356"/>
      <c r="C24" s="356"/>
      <c r="D24" s="357"/>
      <c r="E24" s="371"/>
      <c r="F24" s="372"/>
      <c r="G24" s="372"/>
      <c r="H24" s="372"/>
      <c r="I24" s="370"/>
      <c r="J24" s="119" t="str">
        <f>IF(AND('Mapa final'!$AB$58="Muy Alta",'Mapa final'!$AD$58="Leve"),CONCATENATE("R19C",'Mapa final'!$R$58),"")</f>
        <v/>
      </c>
      <c r="K24" s="44" t="str">
        <f>IF(AND('Mapa final'!$AB$59="Muy Alta",'Mapa final'!$AD$59="Leve"),CONCATENATE("R19C",'Mapa final'!$R$59),"")</f>
        <v/>
      </c>
      <c r="L24" s="120" t="str">
        <f>IF(AND('Mapa final'!$AB$60="Muy Alta",'Mapa final'!$AD$60="Leve"),CONCATENATE("R19C",'Mapa final'!$R$60),"")</f>
        <v/>
      </c>
      <c r="M24" s="119" t="str">
        <f>IF(AND('Mapa final'!$AB$58="Muy Alta",'Mapa final'!$AD$58="Menor"),CONCATENATE("R19C",'Mapa final'!$R$58),"")</f>
        <v/>
      </c>
      <c r="N24" s="44" t="str">
        <f>IF(AND('Mapa final'!$AB$59="Muy Alta",'Mapa final'!$AD$59="Menor"),CONCATENATE("R19C",'Mapa final'!$R$59),"")</f>
        <v/>
      </c>
      <c r="O24" s="44" t="str">
        <f>IF(AND('Mapa final'!$AB$60="Muy Alta",'Mapa final'!$AD$60="Menor"),CONCATENATE("R19C",'Mapa final'!$R$60),"")</f>
        <v/>
      </c>
      <c r="P24" s="119" t="str">
        <f>IF(AND('Mapa final'!$AB$58="Muy Alta",'Mapa final'!$AD$58="Moderado"),CONCATENATE("R19C",'Mapa final'!$R$58),"")</f>
        <v/>
      </c>
      <c r="Q24" s="44" t="str">
        <f>IF(AND('Mapa final'!$AB$59="Muy Alta",'Mapa final'!$AD$59="Moderado"),CONCATENATE("R19C",'Mapa final'!$R$59),"")</f>
        <v/>
      </c>
      <c r="R24" s="120" t="str">
        <f>IF(AND('Mapa final'!$AB$60="Muy Alta",'Mapa final'!$AD$60="Moderado"),CONCATENATE("R19C",'Mapa final'!$R$60),"")</f>
        <v/>
      </c>
      <c r="S24" s="119" t="str">
        <f>IF(AND('Mapa final'!$AB$58="Muy Alta",'Mapa final'!$AD$58="Mayor"),CONCATENATE("R19C",'Mapa final'!$R$58),"")</f>
        <v/>
      </c>
      <c r="T24" s="44" t="str">
        <f>IF(AND('Mapa final'!$AB$59="Muy Alta",'Mapa final'!$AD$59="Mayor"),CONCATENATE("R19C",'Mapa final'!$R$59),"")</f>
        <v/>
      </c>
      <c r="U24" s="120" t="str">
        <f>IF(AND('Mapa final'!$AB$60="Muy Alta",'Mapa final'!$AD$60="Mayor"),CONCATENATE("R19C",'Mapa final'!$R$60),"")</f>
        <v/>
      </c>
      <c r="V24" s="45" t="str">
        <f>IF(AND('Mapa final'!$AB$58="Muy Alta",'Mapa final'!$AD$58="Catastrófico"),CONCATENATE("R19C",'Mapa final'!$R$58),"")</f>
        <v/>
      </c>
      <c r="W24" s="46" t="str">
        <f>IF(AND('Mapa final'!$AB$59="Muy Alta",'Mapa final'!$AD$59="Catastrófico"),CONCATENATE("R19C",'Mapa final'!$R$59),"")</f>
        <v/>
      </c>
      <c r="X24" s="114" t="str">
        <f>IF(AND('Mapa final'!$AB$60="Muy Alta",'Mapa final'!$AD$60="Catastrófico"),CONCATENATE("R19C",'Mapa final'!$R$60),"")</f>
        <v/>
      </c>
      <c r="Y24" s="58"/>
      <c r="Z24" s="378"/>
      <c r="AA24" s="379"/>
      <c r="AB24" s="379"/>
      <c r="AC24" s="379"/>
      <c r="AD24" s="379"/>
      <c r="AE24" s="380"/>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row>
    <row r="25" spans="1:61" ht="15" customHeight="1" x14ac:dyDescent="0.25">
      <c r="A25" s="58"/>
      <c r="B25" s="356"/>
      <c r="C25" s="356"/>
      <c r="D25" s="357"/>
      <c r="E25" s="371"/>
      <c r="F25" s="372"/>
      <c r="G25" s="372"/>
      <c r="H25" s="372"/>
      <c r="I25" s="370"/>
      <c r="J25" s="119" t="str">
        <f>IF(AND('Mapa final'!$AB$61="Muy Alta",'Mapa final'!$AD$61="Leve"),CONCATENATE("R20C",'Mapa final'!$R$61),"")</f>
        <v/>
      </c>
      <c r="K25" s="44" t="str">
        <f>IF(AND('Mapa final'!$AB$62="Muy Alta",'Mapa final'!$AD$62="Leve"),CONCATENATE("R20C",'Mapa final'!$R$62),"")</f>
        <v/>
      </c>
      <c r="L25" s="120" t="str">
        <f>IF(AND('Mapa final'!$AB$63="Muy Alta",'Mapa final'!$AD$63="Leve"),CONCATENATE("R20C",'Mapa final'!$R$63),"")</f>
        <v/>
      </c>
      <c r="M25" s="119" t="str">
        <f>IF(AND('Mapa final'!$AB$61="Muy Alta",'Mapa final'!$AD$61="Menor"),CONCATENATE("R20C",'Mapa final'!$R$61),"")</f>
        <v/>
      </c>
      <c r="N25" s="44" t="str">
        <f>IF(AND('Mapa final'!$AB$62="Muy Alta",'Mapa final'!$AD$62="Menor"),CONCATENATE("R20C",'Mapa final'!$R$62),"")</f>
        <v/>
      </c>
      <c r="O25" s="44" t="str">
        <f>IF(AND('Mapa final'!$AB$63="Muy Alta",'Mapa final'!$AD$63="Menor"),CONCATENATE("R20C",'Mapa final'!$R$63),"")</f>
        <v/>
      </c>
      <c r="P25" s="119" t="str">
        <f>IF(AND('Mapa final'!$AB$61="Muy Alta",'Mapa final'!$AD$61="Moderado"),CONCATENATE("R20C",'Mapa final'!$R$61),"")</f>
        <v/>
      </c>
      <c r="Q25" s="44" t="str">
        <f>IF(AND('Mapa final'!$AB$62="Muy Alta",'Mapa final'!$AD$62="Moderado"),CONCATENATE("R20C",'Mapa final'!$R$62),"")</f>
        <v/>
      </c>
      <c r="R25" s="120" t="str">
        <f>IF(AND('Mapa final'!$AB$63="Muy Alta",'Mapa final'!$AD$63="Moderado"),CONCATENATE("R20C",'Mapa final'!$R$63),"")</f>
        <v/>
      </c>
      <c r="S25" s="119" t="str">
        <f>IF(AND('Mapa final'!$AB$61="Muy Alta",'Mapa final'!$AD$61="Mayor"),CONCATENATE("R20C",'Mapa final'!$R$61),"")</f>
        <v/>
      </c>
      <c r="T25" s="44" t="str">
        <f>IF(AND('Mapa final'!$AB$62="Muy Alta",'Mapa final'!$AD$62="Mayor"),CONCATENATE("R20C",'Mapa final'!$R$62),"")</f>
        <v/>
      </c>
      <c r="U25" s="120" t="str">
        <f>IF(AND('Mapa final'!$AB$63="Muy Alta",'Mapa final'!$AD$63="Mayor"),CONCATENATE("R20C",'Mapa final'!$R$63),"")</f>
        <v/>
      </c>
      <c r="V25" s="45" t="str">
        <f>IF(AND('Mapa final'!$AB$61="Muy Alta",'Mapa final'!$AD$61="Catastrófico"),CONCATENATE("R20C",'Mapa final'!$R$61),"")</f>
        <v/>
      </c>
      <c r="W25" s="46" t="str">
        <f>IF(AND('Mapa final'!$AB$62="Muy Alta",'Mapa final'!$AD$62="Catastrófico"),CONCATENATE("R20C",'Mapa final'!$R$62),"")</f>
        <v/>
      </c>
      <c r="X25" s="114" t="str">
        <f>IF(AND('Mapa final'!$AB$63="Muy Alta",'Mapa final'!$AD$63="Catastrófico"),CONCATENATE("R20C",'Mapa final'!$R$63),"")</f>
        <v/>
      </c>
      <c r="Y25" s="58"/>
      <c r="Z25" s="378"/>
      <c r="AA25" s="379"/>
      <c r="AB25" s="379"/>
      <c r="AC25" s="379"/>
      <c r="AD25" s="379"/>
      <c r="AE25" s="380"/>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row>
    <row r="26" spans="1:61" ht="15" customHeight="1" x14ac:dyDescent="0.25">
      <c r="A26" s="58"/>
      <c r="B26" s="356"/>
      <c r="C26" s="356"/>
      <c r="D26" s="357"/>
      <c r="E26" s="371"/>
      <c r="F26" s="372"/>
      <c r="G26" s="372"/>
      <c r="H26" s="372"/>
      <c r="I26" s="370"/>
      <c r="J26" s="119" t="str">
        <f>IF(AND('Mapa final'!$AB$64="Muy Alta",'Mapa final'!$AD$64="Leve"),CONCATENATE("R21C",'Mapa final'!$R$64),"")</f>
        <v/>
      </c>
      <c r="K26" s="44" t="str">
        <f>IF(AND('Mapa final'!$AB$65="Muy Alta",'Mapa final'!$AD$65="Leve"),CONCATENATE("R21C",'Mapa final'!$R$65),"")</f>
        <v/>
      </c>
      <c r="L26" s="120" t="str">
        <f>IF(AND('Mapa final'!$AB$66="Muy Alta",'Mapa final'!$AD$66="Leve"),CONCATENATE("R21C",'Mapa final'!$R$66),"")</f>
        <v/>
      </c>
      <c r="M26" s="119" t="str">
        <f>IF(AND('Mapa final'!$AB$64="Muy Alta",'Mapa final'!$AD$64="Menor"),CONCATENATE("R21C",'Mapa final'!$R$64),"")</f>
        <v/>
      </c>
      <c r="N26" s="44" t="str">
        <f>IF(AND('Mapa final'!$AB$65="Muy Alta",'Mapa final'!$AD$65="Menor"),CONCATENATE("R21C",'Mapa final'!$R$65),"")</f>
        <v/>
      </c>
      <c r="O26" s="44" t="str">
        <f>IF(AND('Mapa final'!$AB$66="Muy Alta",'Mapa final'!$AD$66="Menor"),CONCATENATE("R21C",'Mapa final'!$R$66),"")</f>
        <v/>
      </c>
      <c r="P26" s="119" t="str">
        <f>IF(AND('Mapa final'!$AB$64="Muy Alta",'Mapa final'!$AD$64="Moderado"),CONCATENATE("R21C",'Mapa final'!$R$64),"")</f>
        <v/>
      </c>
      <c r="Q26" s="44" t="str">
        <f>IF(AND('Mapa final'!$AB$65="Muy Alta",'Mapa final'!$AD$65="Moderado"),CONCATENATE("R21C",'Mapa final'!$R$65),"")</f>
        <v/>
      </c>
      <c r="R26" s="120" t="str">
        <f>IF(AND('Mapa final'!$AB$66="Muy Alta",'Mapa final'!$AD$66="Moderado"),CONCATENATE("R21C",'Mapa final'!$R$66),"")</f>
        <v/>
      </c>
      <c r="S26" s="119" t="str">
        <f>IF(AND('Mapa final'!$AB$64="Muy Alta",'Mapa final'!$AD$64="Mayor"),CONCATENATE("R21C",'Mapa final'!$R$64),"")</f>
        <v/>
      </c>
      <c r="T26" s="44" t="str">
        <f>IF(AND('Mapa final'!$AB$65="Muy Alta",'Mapa final'!$AD$65="Mayor"),CONCATENATE("R21C",'Mapa final'!$R$65),"")</f>
        <v/>
      </c>
      <c r="U26" s="120" t="str">
        <f>IF(AND('Mapa final'!$AB$66="Muy Alta",'Mapa final'!$AD$66="Mayor"),CONCATENATE("R21C",'Mapa final'!$R$66),"")</f>
        <v/>
      </c>
      <c r="V26" s="45" t="str">
        <f>IF(AND('Mapa final'!$AB$64="Muy Alta",'Mapa final'!$AD$64="Catastrófico"),CONCATENATE("R21C",'Mapa final'!$R$64),"")</f>
        <v/>
      </c>
      <c r="W26" s="46" t="str">
        <f>IF(AND('Mapa final'!$AB$65="Muy Alta",'Mapa final'!$AD$65="Catastrófico"),CONCATENATE("R21C",'Mapa final'!$R$65),"")</f>
        <v/>
      </c>
      <c r="X26" s="114" t="str">
        <f>IF(AND('Mapa final'!$AB$66="Muy Alta",'Mapa final'!$AD$66="Catastrófico"),CONCATENATE("R21C",'Mapa final'!$R$66),"")</f>
        <v/>
      </c>
      <c r="Y26" s="58"/>
      <c r="Z26" s="378"/>
      <c r="AA26" s="379"/>
      <c r="AB26" s="379"/>
      <c r="AC26" s="379"/>
      <c r="AD26" s="379"/>
      <c r="AE26" s="380"/>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row>
    <row r="27" spans="1:61" ht="15" customHeight="1" x14ac:dyDescent="0.25">
      <c r="A27" s="58"/>
      <c r="B27" s="356"/>
      <c r="C27" s="356"/>
      <c r="D27" s="357"/>
      <c r="E27" s="371"/>
      <c r="F27" s="372"/>
      <c r="G27" s="372"/>
      <c r="H27" s="372"/>
      <c r="I27" s="370"/>
      <c r="J27" s="119" t="str">
        <f>IF(AND('Mapa final'!$AB$67="Muy Alta",'Mapa final'!$AD$67="Leve"),CONCATENATE("R22C",'Mapa final'!$R$67),"")</f>
        <v/>
      </c>
      <c r="K27" s="44" t="str">
        <f>IF(AND('Mapa final'!$AB$68="Muy Alta",'Mapa final'!$AD$68="Leve"),CONCATENATE("R22C",'Mapa final'!$R$68),"")</f>
        <v/>
      </c>
      <c r="L27" s="120" t="str">
        <f>IF(AND('Mapa final'!$AB$69="Muy Alta",'Mapa final'!$AD$69="Leve"),CONCATENATE("R22C",'Mapa final'!$R$69),"")</f>
        <v/>
      </c>
      <c r="M27" s="119" t="str">
        <f>IF(AND('Mapa final'!$AB$67="Muy Alta",'Mapa final'!$AD$67="Menor"),CONCATENATE("R22C",'Mapa final'!$R$67),"")</f>
        <v/>
      </c>
      <c r="N27" s="44" t="str">
        <f>IF(AND('Mapa final'!$AB$68="Muy Alta",'Mapa final'!$AD$68="Menor"),CONCATENATE("R22C",'Mapa final'!$R$68),"")</f>
        <v/>
      </c>
      <c r="O27" s="44" t="str">
        <f>IF(AND('Mapa final'!$AB$69="Muy Alta",'Mapa final'!$AD$69="Menor"),CONCATENATE("R22C",'Mapa final'!$R$69),"")</f>
        <v/>
      </c>
      <c r="P27" s="119" t="str">
        <f>IF(AND('Mapa final'!$AB$67="Muy Alta",'Mapa final'!$AD$67="Moderado"),CONCATENATE("R22C",'Mapa final'!$R$67),"")</f>
        <v/>
      </c>
      <c r="Q27" s="44" t="str">
        <f>IF(AND('Mapa final'!$AB$68="Muy Alta",'Mapa final'!$AD$68="Moderado"),CONCATENATE("R22C",'Mapa final'!$R$68),"")</f>
        <v/>
      </c>
      <c r="R27" s="120" t="str">
        <f>IF(AND('Mapa final'!$AB$69="Muy Alta",'Mapa final'!$AD$69="Moderado"),CONCATENATE("R22C",'Mapa final'!$R$69),"")</f>
        <v/>
      </c>
      <c r="S27" s="119" t="str">
        <f>IF(AND('Mapa final'!$AB$67="Muy Alta",'Mapa final'!$AD$67="Mayor"),CONCATENATE("R22C",'Mapa final'!$R$67),"")</f>
        <v/>
      </c>
      <c r="T27" s="44" t="str">
        <f>IF(AND('Mapa final'!$AB$68="Muy Alta",'Mapa final'!$AD$68="Mayor"),CONCATENATE("R22C",'Mapa final'!$R$68),"")</f>
        <v/>
      </c>
      <c r="U27" s="120" t="str">
        <f>IF(AND('Mapa final'!$AB$69="Muy Alta",'Mapa final'!$AD$69="Mayor"),CONCATENATE("R22C",'Mapa final'!$R$69),"")</f>
        <v/>
      </c>
      <c r="V27" s="45" t="str">
        <f>IF(AND('Mapa final'!$AB$67="Muy Alta",'Mapa final'!$AD$67="Catastrófico"),CONCATENATE("R22C",'Mapa final'!$R$67),"")</f>
        <v/>
      </c>
      <c r="W27" s="46" t="str">
        <f>IF(AND('Mapa final'!$AB$68="Muy Alta",'Mapa final'!$AD$68="Catastrófico"),CONCATENATE("R22C",'Mapa final'!$R$68),"")</f>
        <v/>
      </c>
      <c r="X27" s="114" t="str">
        <f>IF(AND('Mapa final'!$AB$69="Muy Alta",'Mapa final'!$AD$69="Catastrófico"),CONCATENATE("R22C",'Mapa final'!$R$69),"")</f>
        <v/>
      </c>
      <c r="Y27" s="58"/>
      <c r="Z27" s="378"/>
      <c r="AA27" s="379"/>
      <c r="AB27" s="379"/>
      <c r="AC27" s="379"/>
      <c r="AD27" s="379"/>
      <c r="AE27" s="380"/>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row>
    <row r="28" spans="1:61" ht="15" customHeight="1" x14ac:dyDescent="0.25">
      <c r="A28" s="58"/>
      <c r="B28" s="356"/>
      <c r="C28" s="356"/>
      <c r="D28" s="357"/>
      <c r="E28" s="371"/>
      <c r="F28" s="372"/>
      <c r="G28" s="372"/>
      <c r="H28" s="372"/>
      <c r="I28" s="370"/>
      <c r="J28" s="119" t="str">
        <f>IF(AND('Mapa final'!$AB$70="Muy Alta",'Mapa final'!$AD$70="Leve"),CONCATENATE("R23C",'Mapa final'!$R$70),"")</f>
        <v/>
      </c>
      <c r="K28" s="44" t="str">
        <f>IF(AND('Mapa final'!$AB$71="Muy Alta",'Mapa final'!$AD$71="Leve"),CONCATENATE("R23C",'Mapa final'!$R$71),"")</f>
        <v/>
      </c>
      <c r="L28" s="120" t="str">
        <f>IF(AND('Mapa final'!$AB$72="Muy Alta",'Mapa final'!$AD$72="Leve"),CONCATENATE("R23C",'Mapa final'!$R$72),"")</f>
        <v/>
      </c>
      <c r="M28" s="119" t="str">
        <f>IF(AND('Mapa final'!$AB$70="Muy Alta",'Mapa final'!$AD$70="Menor"),CONCATENATE("R23C",'Mapa final'!$R$70),"")</f>
        <v/>
      </c>
      <c r="N28" s="44" t="str">
        <f>IF(AND('Mapa final'!$AB$71="Muy Alta",'Mapa final'!$AD$71="Menor"),CONCATENATE("R23C",'Mapa final'!$R$71),"")</f>
        <v/>
      </c>
      <c r="O28" s="44" t="str">
        <f>IF(AND('Mapa final'!$AB$72="Muy Alta",'Mapa final'!$AD$72="Menor"),CONCATENATE("R23C",'Mapa final'!$R$72),"")</f>
        <v/>
      </c>
      <c r="P28" s="119" t="str">
        <f>IF(AND('Mapa final'!$AB$70="Muy Alta",'Mapa final'!$AD$70="Moderado"),CONCATENATE("R23C",'Mapa final'!$R$70),"")</f>
        <v/>
      </c>
      <c r="Q28" s="44" t="str">
        <f>IF(AND('Mapa final'!$AB$71="Muy Alta",'Mapa final'!$AD$71="Moderado"),CONCATENATE("R23C",'Mapa final'!$R$71),"")</f>
        <v/>
      </c>
      <c r="R28" s="120" t="str">
        <f>IF(AND('Mapa final'!$AB$72="Muy Alta",'Mapa final'!$AD$72="Moderado"),CONCATENATE("R23C",'Mapa final'!$R$72),"")</f>
        <v/>
      </c>
      <c r="S28" s="119" t="str">
        <f>IF(AND('Mapa final'!$AB$70="Muy Alta",'Mapa final'!$AD$70="Mayor"),CONCATENATE("R23C",'Mapa final'!$R$70),"")</f>
        <v/>
      </c>
      <c r="T28" s="44" t="str">
        <f>IF(AND('Mapa final'!$AB$71="Muy Alta",'Mapa final'!$AD$71="Mayor"),CONCATENATE("R23C",'Mapa final'!$R$71),"")</f>
        <v/>
      </c>
      <c r="U28" s="120" t="str">
        <f>IF(AND('Mapa final'!$AB$72="Muy Alta",'Mapa final'!$AD$72="Mayor"),CONCATENATE("R23C",'Mapa final'!$R$72),"")</f>
        <v/>
      </c>
      <c r="V28" s="45" t="str">
        <f>IF(AND('Mapa final'!$AB$70="Muy Alta",'Mapa final'!$AD$70="Catastrófico"),CONCATENATE("R23C",'Mapa final'!$R$70),"")</f>
        <v/>
      </c>
      <c r="W28" s="46" t="str">
        <f>IF(AND('Mapa final'!$AB$71="Muy Alta",'Mapa final'!$AD$71="Catastrófico"),CONCATENATE("R23C",'Mapa final'!$R$71),"")</f>
        <v/>
      </c>
      <c r="X28" s="114" t="str">
        <f>IF(AND('Mapa final'!$AB$72="Muy Alta",'Mapa final'!$AD$72="Catastrófico"),CONCATENATE("R23C",'Mapa final'!$R$72),"")</f>
        <v/>
      </c>
      <c r="Y28" s="58"/>
      <c r="Z28" s="378"/>
      <c r="AA28" s="379"/>
      <c r="AB28" s="379"/>
      <c r="AC28" s="379"/>
      <c r="AD28" s="379"/>
      <c r="AE28" s="380"/>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row>
    <row r="29" spans="1:61" ht="15" customHeight="1" x14ac:dyDescent="0.25">
      <c r="A29" s="58"/>
      <c r="B29" s="356"/>
      <c r="C29" s="356"/>
      <c r="D29" s="357"/>
      <c r="E29" s="371"/>
      <c r="F29" s="372"/>
      <c r="G29" s="372"/>
      <c r="H29" s="372"/>
      <c r="I29" s="370"/>
      <c r="J29" s="119" t="str">
        <f>IF(AND('Mapa final'!$AB$73="Muy Alta",'Mapa final'!$AD$73="Leve"),CONCATENATE("R24C",'Mapa final'!$R$73),"")</f>
        <v/>
      </c>
      <c r="K29" s="44" t="str">
        <f>IF(AND('Mapa final'!$AB$74="Muy Alta",'Mapa final'!$AD$74="Leve"),CONCATENATE("R24C",'Mapa final'!$R$74),"")</f>
        <v/>
      </c>
      <c r="L29" s="120" t="str">
        <f>IF(AND('Mapa final'!$AB$75="Muy Alta",'Mapa final'!$AD$75="Leve"),CONCATENATE("R24C",'Mapa final'!$R$75),"")</f>
        <v/>
      </c>
      <c r="M29" s="119" t="str">
        <f>IF(AND('Mapa final'!$AB$73="Muy Alta",'Mapa final'!$AD$73="Menor"),CONCATENATE("R24C",'Mapa final'!$R$73),"")</f>
        <v/>
      </c>
      <c r="N29" s="44" t="str">
        <f>IF(AND('Mapa final'!$AB$74="Muy Alta",'Mapa final'!$AD$74="Menor"),CONCATENATE("R24C",'Mapa final'!$R$74),"")</f>
        <v/>
      </c>
      <c r="O29" s="44" t="str">
        <f>IF(AND('Mapa final'!$AB$75="Muy Alta",'Mapa final'!$AD$75="Menor"),CONCATENATE("R24C",'Mapa final'!$R$75),"")</f>
        <v/>
      </c>
      <c r="P29" s="119" t="str">
        <f>IF(AND('Mapa final'!$AB$73="Muy Alta",'Mapa final'!$AD$73="Moderado"),CONCATENATE("R24C",'Mapa final'!$R$73),"")</f>
        <v/>
      </c>
      <c r="Q29" s="44" t="str">
        <f>IF(AND('Mapa final'!$AB$74="Muy Alta",'Mapa final'!$AD$74="Moderado"),CONCATENATE("R24C",'Mapa final'!$R$74),"")</f>
        <v/>
      </c>
      <c r="R29" s="120" t="str">
        <f>IF(AND('Mapa final'!$AB$75="Muy Alta",'Mapa final'!$AD$75="Moderado"),CONCATENATE("R24C",'Mapa final'!$R$75),"")</f>
        <v/>
      </c>
      <c r="S29" s="119" t="str">
        <f>IF(AND('Mapa final'!$AB$73="Muy Alta",'Mapa final'!$AD$73="Mayor"),CONCATENATE("R24C",'Mapa final'!$R$73),"")</f>
        <v/>
      </c>
      <c r="T29" s="44" t="str">
        <f>IF(AND('Mapa final'!$AB$74="Muy Alta",'Mapa final'!$AD$74="Mayor"),CONCATENATE("R24C",'Mapa final'!$R$74),"")</f>
        <v/>
      </c>
      <c r="U29" s="120" t="str">
        <f>IF(AND('Mapa final'!$AB$75="Muy Alta",'Mapa final'!$AD$75="Mayor"),CONCATENATE("R24C",'Mapa final'!$R$75),"")</f>
        <v/>
      </c>
      <c r="V29" s="45" t="str">
        <f>IF(AND('Mapa final'!$AB$73="Muy Alta",'Mapa final'!$AD$73="Catastrófico"),CONCATENATE("R24C",'Mapa final'!$R$73),"")</f>
        <v/>
      </c>
      <c r="W29" s="46" t="str">
        <f>IF(AND('Mapa final'!$AB$74="Muy Alta",'Mapa final'!$AD$74="Catastrófico"),CONCATENATE("R24C",'Mapa final'!$R$74),"")</f>
        <v/>
      </c>
      <c r="X29" s="114" t="str">
        <f>IF(AND('Mapa final'!$AB$75="Muy Alta",'Mapa final'!$AD$75="Catastrófico"),CONCATENATE("R24C",'Mapa final'!$R$75),"")</f>
        <v/>
      </c>
      <c r="Y29" s="58"/>
      <c r="Z29" s="378"/>
      <c r="AA29" s="379"/>
      <c r="AB29" s="379"/>
      <c r="AC29" s="379"/>
      <c r="AD29" s="379"/>
      <c r="AE29" s="380"/>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row>
    <row r="30" spans="1:61" ht="15" customHeight="1" x14ac:dyDescent="0.25">
      <c r="A30" s="58"/>
      <c r="B30" s="356"/>
      <c r="C30" s="356"/>
      <c r="D30" s="357"/>
      <c r="E30" s="371"/>
      <c r="F30" s="372"/>
      <c r="G30" s="372"/>
      <c r="H30" s="372"/>
      <c r="I30" s="370"/>
      <c r="J30" s="119" t="str">
        <f>IF(AND('Mapa final'!$AB$76="Muy Alta",'Mapa final'!$AD$76="Leve"),CONCATENATE("R25C",'Mapa final'!$R$76),"")</f>
        <v/>
      </c>
      <c r="K30" s="44" t="str">
        <f>IF(AND('Mapa final'!$AB$77="Muy Alta",'Mapa final'!$AD$77="Leve"),CONCATENATE("R25C",'Mapa final'!$R$77),"")</f>
        <v/>
      </c>
      <c r="L30" s="120" t="str">
        <f>IF(AND('Mapa final'!$AB$78="Muy Alta",'Mapa final'!$AD$78="Leve"),CONCATENATE("R25C",'Mapa final'!$R$78),"")</f>
        <v/>
      </c>
      <c r="M30" s="119" t="str">
        <f>IF(AND('Mapa final'!$AB$76="Muy Alta",'Mapa final'!$AD$76="Menor"),CONCATENATE("R25C",'Mapa final'!$R$76),"")</f>
        <v/>
      </c>
      <c r="N30" s="44" t="str">
        <f>IF(AND('Mapa final'!$AB$77="Muy Alta",'Mapa final'!$AD$77="Menor"),CONCATENATE("R25C",'Mapa final'!$R$77),"")</f>
        <v/>
      </c>
      <c r="O30" s="44" t="str">
        <f>IF(AND('Mapa final'!$AB$78="Muy Alta",'Mapa final'!$AD$78="Menor"),CONCATENATE("R25C",'Mapa final'!$R$78),"")</f>
        <v/>
      </c>
      <c r="P30" s="119" t="str">
        <f>IF(AND('Mapa final'!$AB$76="Muy Alta",'Mapa final'!$AD$76="Moderado"),CONCATENATE("R25C",'Mapa final'!$R$76),"")</f>
        <v/>
      </c>
      <c r="Q30" s="44" t="str">
        <f>IF(AND('Mapa final'!$AB$77="Muy Alta",'Mapa final'!$AD$77="Moderado"),CONCATENATE("R25C",'Mapa final'!$R$77),"")</f>
        <v/>
      </c>
      <c r="R30" s="120" t="str">
        <f>IF(AND('Mapa final'!$AB$78="Muy Alta",'Mapa final'!$AD$78="Moderado"),CONCATENATE("R25C",'Mapa final'!$R$78),"")</f>
        <v/>
      </c>
      <c r="S30" s="119" t="str">
        <f>IF(AND('Mapa final'!$AB$76="Muy Alta",'Mapa final'!$AD$76="Mayor"),CONCATENATE("R25C",'Mapa final'!$R$76),"")</f>
        <v/>
      </c>
      <c r="T30" s="44" t="str">
        <f>IF(AND('Mapa final'!$AB$77="Muy Alta",'Mapa final'!$AD$77="Mayor"),CONCATENATE("R25C",'Mapa final'!$R$77),"")</f>
        <v/>
      </c>
      <c r="U30" s="120" t="str">
        <f>IF(AND('Mapa final'!$AB$78="Muy Alta",'Mapa final'!$AD$78="Mayor"),CONCATENATE("R25C",'Mapa final'!$R$78),"")</f>
        <v/>
      </c>
      <c r="V30" s="45" t="str">
        <f>IF(AND('Mapa final'!$AB$76="Muy Alta",'Mapa final'!$AD$76="Catastrófico"),CONCATENATE("R25C",'Mapa final'!$R$76),"")</f>
        <v/>
      </c>
      <c r="W30" s="46" t="str">
        <f>IF(AND('Mapa final'!$AB$77="Muy Alta",'Mapa final'!$AD$77="Catastrófico"),CONCATENATE("R25C",'Mapa final'!$R$77),"")</f>
        <v/>
      </c>
      <c r="X30" s="114" t="str">
        <f>IF(AND('Mapa final'!$AB$78="Muy Alta",'Mapa final'!$AD$78="Catastrófico"),CONCATENATE("R25C",'Mapa final'!$R$78),"")</f>
        <v/>
      </c>
      <c r="Y30" s="58"/>
      <c r="Z30" s="378"/>
      <c r="AA30" s="379"/>
      <c r="AB30" s="379"/>
      <c r="AC30" s="379"/>
      <c r="AD30" s="379"/>
      <c r="AE30" s="380"/>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row>
    <row r="31" spans="1:61" ht="15" customHeight="1" x14ac:dyDescent="0.25">
      <c r="A31" s="58"/>
      <c r="B31" s="356"/>
      <c r="C31" s="356"/>
      <c r="D31" s="357"/>
      <c r="E31" s="371"/>
      <c r="F31" s="372"/>
      <c r="G31" s="372"/>
      <c r="H31" s="372"/>
      <c r="I31" s="370"/>
      <c r="J31" s="119" t="str">
        <f>IF(AND('Mapa final'!$AB$79="Muy Alta",'Mapa final'!$AD$79="Leve"),CONCATENATE("R26C",'Mapa final'!$R$79),"")</f>
        <v/>
      </c>
      <c r="K31" s="44" t="str">
        <f>IF(AND('Mapa final'!$AB$80="Muy Alta",'Mapa final'!$AD$80="Leve"),CONCATENATE("R26C",'Mapa final'!$R$80),"")</f>
        <v/>
      </c>
      <c r="L31" s="120" t="str">
        <f>IF(AND('Mapa final'!$AB$81="Muy Alta",'Mapa final'!$AD$81="Leve"),CONCATENATE("R26C",'Mapa final'!$R$81),"")</f>
        <v/>
      </c>
      <c r="M31" s="119" t="str">
        <f>IF(AND('Mapa final'!$AB$79="Muy Alta",'Mapa final'!$AD$79="Menor"),CONCATENATE("R26C",'Mapa final'!$R$79),"")</f>
        <v/>
      </c>
      <c r="N31" s="44" t="str">
        <f>IF(AND('Mapa final'!$AB$80="Muy Alta",'Mapa final'!$AD$80="Menor"),CONCATENATE("R26C",'Mapa final'!$R$80),"")</f>
        <v/>
      </c>
      <c r="O31" s="44" t="str">
        <f>IF(AND('Mapa final'!$AB$81="Muy Alta",'Mapa final'!$AD$81="Menor"),CONCATENATE("R26C",'Mapa final'!$R$81),"")</f>
        <v/>
      </c>
      <c r="P31" s="119" t="str">
        <f>IF(AND('Mapa final'!$AB$79="Muy Alta",'Mapa final'!$AD$79="Moderado"),CONCATENATE("R26C",'Mapa final'!$R$79),"")</f>
        <v/>
      </c>
      <c r="Q31" s="44" t="str">
        <f>IF(AND('Mapa final'!$AB$80="Muy Alta",'Mapa final'!$AD$80="Moderado"),CONCATENATE("R26C",'Mapa final'!$R$80),"")</f>
        <v/>
      </c>
      <c r="R31" s="120" t="str">
        <f>IF(AND('Mapa final'!$AB$81="Muy Alta",'Mapa final'!$AD$81="Moderado"),CONCATENATE("R26C",'Mapa final'!$R$81),"")</f>
        <v/>
      </c>
      <c r="S31" s="119" t="str">
        <f>IF(AND('Mapa final'!$AB$79="Muy Alta",'Mapa final'!$AD$79="Mayor"),CONCATENATE("R26C",'Mapa final'!$R$79),"")</f>
        <v/>
      </c>
      <c r="T31" s="44" t="str">
        <f>IF(AND('Mapa final'!$AB$80="Muy Alta",'Mapa final'!$AD$80="Mayor"),CONCATENATE("R26C",'Mapa final'!$R$80),"")</f>
        <v/>
      </c>
      <c r="U31" s="120" t="str">
        <f>IF(AND('Mapa final'!$AB$81="Muy Alta",'Mapa final'!$AD$81="Mayor"),CONCATENATE("R26C",'Mapa final'!$R$81),"")</f>
        <v/>
      </c>
      <c r="V31" s="45" t="str">
        <f>IF(AND('Mapa final'!$AB$79="Muy Alta",'Mapa final'!$AD$79="Catastrófico"),CONCATENATE("R26C",'Mapa final'!$R$79),"")</f>
        <v/>
      </c>
      <c r="W31" s="46" t="str">
        <f>IF(AND('Mapa final'!$AB$80="Muy Alta",'Mapa final'!$AD$80="Catastrófico"),CONCATENATE("R26C",'Mapa final'!$R$80),"")</f>
        <v/>
      </c>
      <c r="X31" s="114" t="str">
        <f>IF(AND('Mapa final'!$AB$81="Muy Alta",'Mapa final'!$AD$81="Catastrófico"),CONCATENATE("R26C",'Mapa final'!$R$81),"")</f>
        <v/>
      </c>
      <c r="Y31" s="58"/>
      <c r="Z31" s="378"/>
      <c r="AA31" s="379"/>
      <c r="AB31" s="379"/>
      <c r="AC31" s="379"/>
      <c r="AD31" s="379"/>
      <c r="AE31" s="380"/>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row>
    <row r="32" spans="1:61" ht="15" customHeight="1" x14ac:dyDescent="0.25">
      <c r="A32" s="58"/>
      <c r="B32" s="356"/>
      <c r="C32" s="356"/>
      <c r="D32" s="357"/>
      <c r="E32" s="371"/>
      <c r="F32" s="372"/>
      <c r="G32" s="372"/>
      <c r="H32" s="372"/>
      <c r="I32" s="370"/>
      <c r="J32" s="119" t="str">
        <f>IF(AND('Mapa final'!$AB$82="Muy Alta",'Mapa final'!$AD$82="Leve"),CONCATENATE("R27C",'Mapa final'!$R$82),"")</f>
        <v/>
      </c>
      <c r="K32" s="44" t="str">
        <f>IF(AND('Mapa final'!$AB$83="Muy Alta",'Mapa final'!$AD$83="Leve"),CONCATENATE("R27C",'Mapa final'!$R$83),"")</f>
        <v/>
      </c>
      <c r="L32" s="120" t="str">
        <f>IF(AND('Mapa final'!$AB$84="Muy Alta",'Mapa final'!$AD$84="Leve"),CONCATENATE("R27C",'Mapa final'!$R$84),"")</f>
        <v/>
      </c>
      <c r="M32" s="119" t="str">
        <f>IF(AND('Mapa final'!$AB$82="Muy Alta",'Mapa final'!$AD$82="Menor"),CONCATENATE("R27C",'Mapa final'!$R$82),"")</f>
        <v/>
      </c>
      <c r="N32" s="44" t="str">
        <f>IF(AND('Mapa final'!$AB$83="Muy Alta",'Mapa final'!$AD$83="Menor"),CONCATENATE("R27C",'Mapa final'!$R$83),"")</f>
        <v/>
      </c>
      <c r="O32" s="44" t="str">
        <f>IF(AND('Mapa final'!$AB$84="Muy Alta",'Mapa final'!$AD$84="Menor"),CONCATENATE("R27C",'Mapa final'!$R$84),"")</f>
        <v/>
      </c>
      <c r="P32" s="119" t="str">
        <f>IF(AND('Mapa final'!$AB$82="Muy Alta",'Mapa final'!$AD$82="Moderado"),CONCATENATE("R27C",'Mapa final'!$R$82),"")</f>
        <v/>
      </c>
      <c r="Q32" s="44" t="str">
        <f>IF(AND('Mapa final'!$AB$83="Muy Alta",'Mapa final'!$AD$83="Moderado"),CONCATENATE("R27C",'Mapa final'!$R$83),"")</f>
        <v/>
      </c>
      <c r="R32" s="120" t="str">
        <f>IF(AND('Mapa final'!$AB$84="Muy Alta",'Mapa final'!$AD$84="Moderado"),CONCATENATE("R27C",'Mapa final'!$R$84),"")</f>
        <v/>
      </c>
      <c r="S32" s="119" t="str">
        <f>IF(AND('Mapa final'!$AB$82="Muy Alta",'Mapa final'!$AD$82="Mayor"),CONCATENATE("R27C",'Mapa final'!$R$82),"")</f>
        <v/>
      </c>
      <c r="T32" s="44" t="str">
        <f>IF(AND('Mapa final'!$AB$83="Muy Alta",'Mapa final'!$AD$83="Mayor"),CONCATENATE("R27C",'Mapa final'!$R$83),"")</f>
        <v/>
      </c>
      <c r="U32" s="120" t="str">
        <f>IF(AND('Mapa final'!$AB$84="Muy Alta",'Mapa final'!$AD$84="Mayor"),CONCATENATE("R27C",'Mapa final'!$R$84),"")</f>
        <v/>
      </c>
      <c r="V32" s="45" t="str">
        <f>IF(AND('Mapa final'!$AB$82="Muy Alta",'Mapa final'!$AD$82="Catastrófico"),CONCATENATE("R27C",'Mapa final'!$R$82),"")</f>
        <v/>
      </c>
      <c r="W32" s="46" t="str">
        <f>IF(AND('Mapa final'!$AB$83="Muy Alta",'Mapa final'!$AD$83="Catastrófico"),CONCATENATE("R27C",'Mapa final'!$R$83),"")</f>
        <v/>
      </c>
      <c r="X32" s="114" t="str">
        <f>IF(AND('Mapa final'!$AB$84="Muy Alta",'Mapa final'!$AD$84="Catastrófico"),CONCATENATE("R27C",'Mapa final'!$R$84),"")</f>
        <v/>
      </c>
      <c r="Y32" s="58"/>
      <c r="Z32" s="378"/>
      <c r="AA32" s="379"/>
      <c r="AB32" s="379"/>
      <c r="AC32" s="379"/>
      <c r="AD32" s="379"/>
      <c r="AE32" s="380"/>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row>
    <row r="33" spans="1:61" ht="15" customHeight="1" x14ac:dyDescent="0.25">
      <c r="A33" s="58"/>
      <c r="B33" s="356"/>
      <c r="C33" s="356"/>
      <c r="D33" s="357"/>
      <c r="E33" s="371"/>
      <c r="F33" s="372"/>
      <c r="G33" s="372"/>
      <c r="H33" s="372"/>
      <c r="I33" s="370"/>
      <c r="J33" s="119" t="str">
        <f>IF(AND('Mapa final'!$AB$85="Muy Alta",'Mapa final'!$AD$85="Leve"),CONCATENATE("R28C",'Mapa final'!$R$85),"")</f>
        <v/>
      </c>
      <c r="K33" s="44" t="str">
        <f>IF(AND('Mapa final'!$AB$86="Muy Alta",'Mapa final'!$AD$86="Leve"),CONCATENATE("R28C",'Mapa final'!$R$86),"")</f>
        <v/>
      </c>
      <c r="L33" s="120" t="str">
        <f>IF(AND('Mapa final'!$AB$87="Muy Alta",'Mapa final'!$AD$87="Leve"),CONCATENATE("R28C",'Mapa final'!$R$87),"")</f>
        <v/>
      </c>
      <c r="M33" s="119" t="str">
        <f>IF(AND('Mapa final'!$AB$85="Muy Alta",'Mapa final'!$AD$85="Menor"),CONCATENATE("R28C",'Mapa final'!$R$85),"")</f>
        <v/>
      </c>
      <c r="N33" s="44" t="str">
        <f>IF(AND('Mapa final'!$AB$86="Muy Alta",'Mapa final'!$AD$86="Menor"),CONCATENATE("R28C",'Mapa final'!$R$86),"")</f>
        <v/>
      </c>
      <c r="O33" s="44" t="str">
        <f>IF(AND('Mapa final'!$AB$87="Muy Alta",'Mapa final'!$AD$87="Menor"),CONCATENATE("R28C",'Mapa final'!$R$87),"")</f>
        <v/>
      </c>
      <c r="P33" s="119" t="str">
        <f>IF(AND('Mapa final'!$AB$85="Muy Alta",'Mapa final'!$AD$85="Moderado"),CONCATENATE("R28C",'Mapa final'!$R$85),"")</f>
        <v/>
      </c>
      <c r="Q33" s="44" t="str">
        <f>IF(AND('Mapa final'!$AB$86="Muy Alta",'Mapa final'!$AD$86="Moderado"),CONCATENATE("R28C",'Mapa final'!$R$86),"")</f>
        <v/>
      </c>
      <c r="R33" s="120" t="str">
        <f>IF(AND('Mapa final'!$AB$87="Muy Alta",'Mapa final'!$AD$87="Moderado"),CONCATENATE("R28C",'Mapa final'!$R$87),"")</f>
        <v/>
      </c>
      <c r="S33" s="119" t="str">
        <f>IF(AND('Mapa final'!$AB$85="Muy Alta",'Mapa final'!$AD$85="Mayor"),CONCATENATE("R28C",'Mapa final'!$R$85),"")</f>
        <v/>
      </c>
      <c r="T33" s="44" t="str">
        <f>IF(AND('Mapa final'!$AB$86="Muy Alta",'Mapa final'!$AD$86="Mayor"),CONCATENATE("R28C",'Mapa final'!$R$86),"")</f>
        <v/>
      </c>
      <c r="U33" s="120" t="str">
        <f>IF(AND('Mapa final'!$AB$87="Muy Alta",'Mapa final'!$AD$87="Mayor"),CONCATENATE("R28C",'Mapa final'!$R$87),"")</f>
        <v/>
      </c>
      <c r="V33" s="45" t="str">
        <f>IF(AND('Mapa final'!$AB$85="Muy Alta",'Mapa final'!$AD$85="Catastrófico"),CONCATENATE("R28C",'Mapa final'!$R$85),"")</f>
        <v/>
      </c>
      <c r="W33" s="46" t="str">
        <f>IF(AND('Mapa final'!$AB$86="Muy Alta",'Mapa final'!$AD$86="Catastrófico"),CONCATENATE("R28C",'Mapa final'!$R$86),"")</f>
        <v/>
      </c>
      <c r="X33" s="114" t="str">
        <f>IF(AND('Mapa final'!$AB$87="Muy Alta",'Mapa final'!$AD$87="Catastrófico"),CONCATENATE("R28C",'Mapa final'!$R$87),"")</f>
        <v/>
      </c>
      <c r="Y33" s="58"/>
      <c r="Z33" s="378"/>
      <c r="AA33" s="379"/>
      <c r="AB33" s="379"/>
      <c r="AC33" s="379"/>
      <c r="AD33" s="379"/>
      <c r="AE33" s="380"/>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row>
    <row r="34" spans="1:61" ht="15" customHeight="1" x14ac:dyDescent="0.25">
      <c r="A34" s="58"/>
      <c r="B34" s="356"/>
      <c r="C34" s="356"/>
      <c r="D34" s="357"/>
      <c r="E34" s="371"/>
      <c r="F34" s="372"/>
      <c r="G34" s="372"/>
      <c r="H34" s="372"/>
      <c r="I34" s="370"/>
      <c r="J34" s="119" t="str">
        <f>IF(AND('Mapa final'!$AB$88="Muy Alta",'Mapa final'!$AD$88="Leve"),CONCATENATE("R29C",'Mapa final'!$R$88),"")</f>
        <v/>
      </c>
      <c r="K34" s="44" t="str">
        <f>IF(AND('Mapa final'!$AB$89="Muy Alta",'Mapa final'!$AD$89="Leve"),CONCATENATE("R29C",'Mapa final'!$R$89),"")</f>
        <v/>
      </c>
      <c r="L34" s="120" t="str">
        <f>IF(AND('Mapa final'!$AB$90="Muy Alta",'Mapa final'!$AD$90="Leve"),CONCATENATE("R30C",'Mapa final'!$R$90),"")</f>
        <v/>
      </c>
      <c r="M34" s="119" t="str">
        <f>IF(AND('Mapa final'!$AB$88="Muy Alta",'Mapa final'!$AD$88="Menor"),CONCATENATE("R29C",'Mapa final'!$R$88),"")</f>
        <v/>
      </c>
      <c r="N34" s="44" t="str">
        <f>IF(AND('Mapa final'!$AB$89="Muy Alta",'Mapa final'!$AD$89="Menor"),CONCATENATE("R29C",'Mapa final'!$R$89),"")</f>
        <v/>
      </c>
      <c r="O34" s="44" t="str">
        <f>IF(AND('Mapa final'!$AB$90="Muy Alta",'Mapa final'!$AD$90="Menor"),CONCATENATE("R30C",'Mapa final'!$R$90),"")</f>
        <v/>
      </c>
      <c r="P34" s="119" t="str">
        <f>IF(AND('Mapa final'!$AB$88="Muy Alta",'Mapa final'!$AD$88="Moderado"),CONCATENATE("R29C",'Mapa final'!$R$88),"")</f>
        <v/>
      </c>
      <c r="Q34" s="44" t="str">
        <f>IF(AND('Mapa final'!$AB$89="Muy Alta",'Mapa final'!$AD$89="Moderado"),CONCATENATE("R29C",'Mapa final'!$R$89),"")</f>
        <v/>
      </c>
      <c r="R34" s="120" t="str">
        <f>IF(AND('Mapa final'!$AB$90="Muy Alta",'Mapa final'!$AD$90="Moderado"),CONCATENATE("R30C",'Mapa final'!$R$90),"")</f>
        <v/>
      </c>
      <c r="S34" s="119" t="str">
        <f>IF(AND('Mapa final'!$AB$88="Muy Alta",'Mapa final'!$AD$88="Mayor"),CONCATENATE("R29C",'Mapa final'!$R$88),"")</f>
        <v/>
      </c>
      <c r="T34" s="44" t="str">
        <f>IF(AND('Mapa final'!$AB$89="Muy Alta",'Mapa final'!$AD$89="Mayor"),CONCATENATE("R29C",'Mapa final'!$R$89),"")</f>
        <v/>
      </c>
      <c r="U34" s="120" t="str">
        <f>IF(AND('Mapa final'!$AB$90="Muy Alta",'Mapa final'!$AD$90="Mayor"),CONCATENATE("R30C",'Mapa final'!$R$90),"")</f>
        <v/>
      </c>
      <c r="V34" s="45" t="str">
        <f>IF(AND('Mapa final'!$AB$88="Muy Alta",'Mapa final'!$AD$88="Catastrófico"),CONCATENATE("R29C",'Mapa final'!$R$88),"")</f>
        <v/>
      </c>
      <c r="W34" s="46" t="str">
        <f>IF(AND('Mapa final'!$AB$89="Muy Alta",'Mapa final'!$AD$89="Catastrófico"),CONCATENATE("R29C",'Mapa final'!$R$89),"")</f>
        <v/>
      </c>
      <c r="X34" s="114" t="str">
        <f>IF(AND('Mapa final'!$AB$90="Muy Alta",'Mapa final'!$AD$90="Catastrófico"),CONCATENATE("R30C",'Mapa final'!$R$90),"")</f>
        <v/>
      </c>
      <c r="Y34" s="58"/>
      <c r="Z34" s="378"/>
      <c r="AA34" s="379"/>
      <c r="AB34" s="379"/>
      <c r="AC34" s="379"/>
      <c r="AD34" s="379"/>
      <c r="AE34" s="380"/>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row>
    <row r="35" spans="1:61" ht="15" customHeight="1" x14ac:dyDescent="0.25">
      <c r="A35" s="58"/>
      <c r="B35" s="356"/>
      <c r="C35" s="356"/>
      <c r="D35" s="357"/>
      <c r="E35" s="371"/>
      <c r="F35" s="372"/>
      <c r="G35" s="372"/>
      <c r="H35" s="372"/>
      <c r="I35" s="370"/>
      <c r="J35" s="119" t="str">
        <f>IF(AND('Mapa final'!$AB$91="Muy Alta",'Mapa final'!$AD$91="Leve"),CONCATENATE("R30C",'Mapa final'!$R$91),"")</f>
        <v/>
      </c>
      <c r="K35" s="44" t="str">
        <f>IF(AND('Mapa final'!$AB$92="Muy Alta",'Mapa final'!$AD$92="Leve"),CONCATENATE("R30C",'Mapa final'!$R$92),"")</f>
        <v/>
      </c>
      <c r="L35" s="120" t="str">
        <f>IF(AND('Mapa final'!$AB$93="Muy Alta",'Mapa final'!$AD$93="Leve"),CONCATENATE("R31C",'Mapa final'!$R$93),"")</f>
        <v/>
      </c>
      <c r="M35" s="119" t="str">
        <f>IF(AND('Mapa final'!$AB$91="Muy Alta",'Mapa final'!$AD$91="Menor"),CONCATENATE("R30C",'Mapa final'!$R$91),"")</f>
        <v/>
      </c>
      <c r="N35" s="44" t="str">
        <f>IF(AND('Mapa final'!$AB$92="Muy Alta",'Mapa final'!$AD$92="Menor"),CONCATENATE("R30C",'Mapa final'!$R$92),"")</f>
        <v/>
      </c>
      <c r="O35" s="44" t="str">
        <f>IF(AND('Mapa final'!$AB$93="Muy Alta",'Mapa final'!$AD$93="Menor"),CONCATENATE("R31C",'Mapa final'!$R$93),"")</f>
        <v/>
      </c>
      <c r="P35" s="119" t="str">
        <f>IF(AND('Mapa final'!$AB$91="Muy Alta",'Mapa final'!$AD$91="Moderado"),CONCATENATE("R30C",'Mapa final'!$R$91),"")</f>
        <v/>
      </c>
      <c r="Q35" s="44" t="str">
        <f>IF(AND('Mapa final'!$AB$92="Muy Alta",'Mapa final'!$AD$92="Moderado"),CONCATENATE("R30C",'Mapa final'!$R$92),"")</f>
        <v/>
      </c>
      <c r="R35" s="120" t="str">
        <f>IF(AND('Mapa final'!$AB$93="Muy Alta",'Mapa final'!$AD$93="Moderado"),CONCATENATE("R31C",'Mapa final'!$R$93),"")</f>
        <v/>
      </c>
      <c r="S35" s="119" t="str">
        <f>IF(AND('Mapa final'!$AB$91="Muy Alta",'Mapa final'!$AD$91="Mayor"),CONCATENATE("R30C",'Mapa final'!$R$91),"")</f>
        <v/>
      </c>
      <c r="T35" s="44" t="str">
        <f>IF(AND('Mapa final'!$AB$92="Muy Alta",'Mapa final'!$AD$92="Mayor"),CONCATENATE("R30C",'Mapa final'!$R$92),"")</f>
        <v/>
      </c>
      <c r="U35" s="120" t="str">
        <f>IF(AND('Mapa final'!$AB$93="Muy Alta",'Mapa final'!$AD$93="Mayor"),CONCATENATE("R31C",'Mapa final'!$R$93),"")</f>
        <v/>
      </c>
      <c r="V35" s="45" t="str">
        <f>IF(AND('Mapa final'!$AB$91="Muy Alta",'Mapa final'!$AD$91="Catastrófico"),CONCATENATE("R30C",'Mapa final'!$R$91),"")</f>
        <v/>
      </c>
      <c r="W35" s="46" t="str">
        <f>IF(AND('Mapa final'!$AB$92="Muy Alta",'Mapa final'!$AD$92="Catastrófico"),CONCATENATE("R30C",'Mapa final'!$R$92),"")</f>
        <v/>
      </c>
      <c r="X35" s="114" t="str">
        <f>IF(AND('Mapa final'!$AB$93="Muy Alta",'Mapa final'!$AD$93="Catastrófico"),CONCATENATE("R31C",'Mapa final'!$R$93),"")</f>
        <v/>
      </c>
      <c r="Y35" s="58"/>
      <c r="Z35" s="378"/>
      <c r="AA35" s="379"/>
      <c r="AB35" s="379"/>
      <c r="AC35" s="379"/>
      <c r="AD35" s="379"/>
      <c r="AE35" s="380"/>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row>
    <row r="36" spans="1:61" ht="15" customHeight="1" x14ac:dyDescent="0.25">
      <c r="A36" s="58"/>
      <c r="B36" s="356"/>
      <c r="C36" s="356"/>
      <c r="D36" s="357"/>
      <c r="E36" s="371"/>
      <c r="F36" s="372"/>
      <c r="G36" s="372"/>
      <c r="H36" s="372"/>
      <c r="I36" s="370"/>
      <c r="J36" s="119" t="str">
        <f>IF(AND('Mapa final'!$AB$94="Muy Alta",'Mapa final'!$AD$94="Leve"),CONCATENATE("R31C",'Mapa final'!$R$94),"")</f>
        <v/>
      </c>
      <c r="K36" s="44" t="str">
        <f>IF(AND('Mapa final'!$AB$95="Muy Alta",'Mapa final'!$AD$95="Leve"),CONCATENATE("R31C",'Mapa final'!$R$95),"")</f>
        <v/>
      </c>
      <c r="L36" s="120" t="str">
        <f>IF(AND('Mapa final'!$AB$96="Muy Alta",'Mapa final'!$AD$96="Leve"),CONCATENATE("R32C",'Mapa final'!$R$96),"")</f>
        <v/>
      </c>
      <c r="M36" s="119" t="str">
        <f>IF(AND('Mapa final'!$AB$94="Muy Alta",'Mapa final'!$AD$94="Menor"),CONCATENATE("R31C",'Mapa final'!$R$94),"")</f>
        <v/>
      </c>
      <c r="N36" s="44" t="str">
        <f>IF(AND('Mapa final'!$AB$95="Muy Alta",'Mapa final'!$AD$95="Menor"),CONCATENATE("R31C",'Mapa final'!$R$95),"")</f>
        <v/>
      </c>
      <c r="O36" s="44" t="str">
        <f>IF(AND('Mapa final'!$AB$96="Muy Alta",'Mapa final'!$AD$96="Menor"),CONCATENATE("R32C",'Mapa final'!$R$96),"")</f>
        <v/>
      </c>
      <c r="P36" s="119" t="str">
        <f>IF(AND('Mapa final'!$AB$94="Muy Alta",'Mapa final'!$AD$94="Moderado"),CONCATENATE("R31C",'Mapa final'!$R$94),"")</f>
        <v/>
      </c>
      <c r="Q36" s="44" t="str">
        <f>IF(AND('Mapa final'!$AB$95="Muy Alta",'Mapa final'!$AD$95="Moderado"),CONCATENATE("R31C",'Mapa final'!$R$95),"")</f>
        <v/>
      </c>
      <c r="R36" s="120" t="str">
        <f>IF(AND('Mapa final'!$AB$96="Muy Alta",'Mapa final'!$AD$96="Moderado"),CONCATENATE("R32C",'Mapa final'!$R$96),"")</f>
        <v/>
      </c>
      <c r="S36" s="119" t="str">
        <f>IF(AND('Mapa final'!$AB$94="Muy Alta",'Mapa final'!$AD$94="Mayor"),CONCATENATE("R31C",'Mapa final'!$R$94),"")</f>
        <v/>
      </c>
      <c r="T36" s="44" t="str">
        <f>IF(AND('Mapa final'!$AB$95="Muy Alta",'Mapa final'!$AD$95="Mayor"),CONCATENATE("R31C",'Mapa final'!$R$95),"")</f>
        <v/>
      </c>
      <c r="U36" s="120" t="str">
        <f>IF(AND('Mapa final'!$AB$96="Muy Alta",'Mapa final'!$AD$96="Mayor"),CONCATENATE("R32C",'Mapa final'!$R$96),"")</f>
        <v/>
      </c>
      <c r="V36" s="45" t="str">
        <f>IF(AND('Mapa final'!$AB$94="Muy Alta",'Mapa final'!$AD$94="Catastrófico"),CONCATENATE("R31C",'Mapa final'!$R$94),"")</f>
        <v/>
      </c>
      <c r="W36" s="46" t="str">
        <f>IF(AND('Mapa final'!$AB$95="Muy Alta",'Mapa final'!$AD$95="Catastrófico"),CONCATENATE("R31C",'Mapa final'!$R$95),"")</f>
        <v/>
      </c>
      <c r="X36" s="114" t="str">
        <f>IF(AND('Mapa final'!$AB$96="Muy Alta",'Mapa final'!$AD$96="Catastrófico"),CONCATENATE("R32C",'Mapa final'!$R$96),"")</f>
        <v/>
      </c>
      <c r="Y36" s="58"/>
      <c r="Z36" s="378"/>
      <c r="AA36" s="379"/>
      <c r="AB36" s="379"/>
      <c r="AC36" s="379"/>
      <c r="AD36" s="379"/>
      <c r="AE36" s="380"/>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row>
    <row r="37" spans="1:61" ht="15" customHeight="1" x14ac:dyDescent="0.25">
      <c r="A37" s="58"/>
      <c r="B37" s="356"/>
      <c r="C37" s="356"/>
      <c r="D37" s="357"/>
      <c r="E37" s="371"/>
      <c r="F37" s="372"/>
      <c r="G37" s="372"/>
      <c r="H37" s="372"/>
      <c r="I37" s="370"/>
      <c r="J37" s="119" t="str">
        <f>IF(AND('Mapa final'!$AB$97="Muy Alta",'Mapa final'!$AD$97="Leve"),CONCATENATE("R32C",'Mapa final'!$R$97),"")</f>
        <v/>
      </c>
      <c r="K37" s="44" t="str">
        <f>IF(AND('Mapa final'!$AB$98="Muy Alta",'Mapa final'!$AD$98="Leve"),CONCATENATE("R32C",'Mapa final'!$R$98),"")</f>
        <v/>
      </c>
      <c r="L37" s="120" t="str">
        <f>IF(AND('Mapa final'!$AB$99="Muy Alta",'Mapa final'!$AD$99="Leve"),CONCATENATE("R33C",'Mapa final'!$R$99),"")</f>
        <v/>
      </c>
      <c r="M37" s="119" t="str">
        <f>IF(AND('Mapa final'!$AB$97="Muy Alta",'Mapa final'!$AD$97="Menor"),CONCATENATE("R32C",'Mapa final'!$R$97),"")</f>
        <v/>
      </c>
      <c r="N37" s="44" t="str">
        <f>IF(AND('Mapa final'!$AB$98="Muy Alta",'Mapa final'!$AD$98="Menor"),CONCATENATE("R32C",'Mapa final'!$R$98),"")</f>
        <v/>
      </c>
      <c r="O37" s="44" t="str">
        <f>IF(AND('Mapa final'!$AB$99="Muy Alta",'Mapa final'!$AD$99="Menor"),CONCATENATE("R33C",'Mapa final'!$R$99),"")</f>
        <v/>
      </c>
      <c r="P37" s="119" t="str">
        <f>IF(AND('Mapa final'!$AB$97="Muy Alta",'Mapa final'!$AD$97="Moderado"),CONCATENATE("R32C",'Mapa final'!$R$97),"")</f>
        <v/>
      </c>
      <c r="Q37" s="44" t="str">
        <f>IF(AND('Mapa final'!$AB$98="Muy Alta",'Mapa final'!$AD$98="Moderado"),CONCATENATE("R32C",'Mapa final'!$R$98),"")</f>
        <v/>
      </c>
      <c r="R37" s="120" t="str">
        <f>IF(AND('Mapa final'!$AB$99="Muy Alta",'Mapa final'!$AD$99="Moderado"),CONCATENATE("R33C",'Mapa final'!$R$99),"")</f>
        <v/>
      </c>
      <c r="S37" s="119" t="str">
        <f>IF(AND('Mapa final'!$AB$97="Muy Alta",'Mapa final'!$AD$97="Mayor"),CONCATENATE("R32C",'Mapa final'!$R$97),"")</f>
        <v/>
      </c>
      <c r="T37" s="44" t="str">
        <f>IF(AND('Mapa final'!$AB$98="Muy Alta",'Mapa final'!$AD$98="Mayor"),CONCATENATE("R32C",'Mapa final'!$R$98),"")</f>
        <v/>
      </c>
      <c r="U37" s="120" t="str">
        <f>IF(AND('Mapa final'!$AB$99="Muy Alta",'Mapa final'!$AD$99="Mayor"),CONCATENATE("R33C",'Mapa final'!$R$99),"")</f>
        <v/>
      </c>
      <c r="V37" s="45" t="str">
        <f>IF(AND('Mapa final'!$AB$97="Muy Alta",'Mapa final'!$AD$97="Catastrófico"),CONCATENATE("R32C",'Mapa final'!$R$97),"")</f>
        <v/>
      </c>
      <c r="W37" s="46" t="str">
        <f>IF(AND('Mapa final'!$AB$98="Muy Alta",'Mapa final'!$AD$98="Catastrófico"),CONCATENATE("R32C",'Mapa final'!$R$98),"")</f>
        <v/>
      </c>
      <c r="X37" s="114" t="str">
        <f>IF(AND('Mapa final'!$AB$99="Muy Alta",'Mapa final'!$AD$99="Catastrófico"),CONCATENATE("R33C",'Mapa final'!$R$99),"")</f>
        <v/>
      </c>
      <c r="Y37" s="58"/>
      <c r="Z37" s="378"/>
      <c r="AA37" s="379"/>
      <c r="AB37" s="379"/>
      <c r="AC37" s="379"/>
      <c r="AD37" s="379"/>
      <c r="AE37" s="380"/>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row>
    <row r="38" spans="1:61" ht="15" customHeight="1" x14ac:dyDescent="0.25">
      <c r="A38" s="58"/>
      <c r="B38" s="356"/>
      <c r="C38" s="356"/>
      <c r="D38" s="357"/>
      <c r="E38" s="371"/>
      <c r="F38" s="372"/>
      <c r="G38" s="372"/>
      <c r="H38" s="372"/>
      <c r="I38" s="370"/>
      <c r="J38" s="119" t="str">
        <f>IF(AND('Mapa final'!$AB$100="Muy Alta",'Mapa final'!$AD$100="Leve"),CONCATENATE("R33C",'Mapa final'!$R$100),"")</f>
        <v/>
      </c>
      <c r="K38" s="44" t="str">
        <f>IF(AND('Mapa final'!$AB$101="Muy Alta",'Mapa final'!$AD$101="Leve"),CONCATENATE("R33C",'Mapa final'!$R$101),"")</f>
        <v/>
      </c>
      <c r="L38" s="120" t="str">
        <f>IF(AND('Mapa final'!$AB$102="Muy Alta",'Mapa final'!$AD$102="Leve"),CONCATENATE("R34C",'Mapa final'!$R$102),"")</f>
        <v/>
      </c>
      <c r="M38" s="119" t="str">
        <f>IF(AND('Mapa final'!$AB$100="Muy Alta",'Mapa final'!$AD$100="Menor"),CONCATENATE("R33C",'Mapa final'!$R$100),"")</f>
        <v/>
      </c>
      <c r="N38" s="44" t="str">
        <f>IF(AND('Mapa final'!$AB$101="Muy Alta",'Mapa final'!$AD$101="Menor"),CONCATENATE("R33C",'Mapa final'!$R$101),"")</f>
        <v/>
      </c>
      <c r="O38" s="44" t="str">
        <f>IF(AND('Mapa final'!$AB$102="Muy Alta",'Mapa final'!$AD$102="Menor"),CONCATENATE("R34C",'Mapa final'!$R$102),"")</f>
        <v/>
      </c>
      <c r="P38" s="119" t="str">
        <f>IF(AND('Mapa final'!$AB$100="Muy Alta",'Mapa final'!$AD$100="Moderado"),CONCATENATE("R33C",'Mapa final'!$R$100),"")</f>
        <v/>
      </c>
      <c r="Q38" s="44" t="str">
        <f>IF(AND('Mapa final'!$AB$101="Muy Alta",'Mapa final'!$AD$101="Moderado"),CONCATENATE("R33C",'Mapa final'!$R$101),"")</f>
        <v/>
      </c>
      <c r="R38" s="120" t="str">
        <f>IF(AND('Mapa final'!$AB$102="Muy Alta",'Mapa final'!$AD$102="Moderado"),CONCATENATE("R34C",'Mapa final'!$R$102),"")</f>
        <v/>
      </c>
      <c r="S38" s="119" t="str">
        <f>IF(AND('Mapa final'!$AB$100="Muy Alta",'Mapa final'!$AD$100="Mayor"),CONCATENATE("R33C",'Mapa final'!$R$100),"")</f>
        <v/>
      </c>
      <c r="T38" s="44" t="str">
        <f>IF(AND('Mapa final'!$AB$101="Muy Alta",'Mapa final'!$AD$101="Mayor"),CONCATENATE("R33C",'Mapa final'!$R$101),"")</f>
        <v/>
      </c>
      <c r="U38" s="120" t="str">
        <f>IF(AND('Mapa final'!$AB$102="Muy Alta",'Mapa final'!$AD$102="Mayor"),CONCATENATE("R34C",'Mapa final'!$R$102),"")</f>
        <v/>
      </c>
      <c r="V38" s="45" t="str">
        <f>IF(AND('Mapa final'!$AB$100="Muy Alta",'Mapa final'!$AD$100="Catastrófico"),CONCATENATE("R33C",'Mapa final'!$R$100),"")</f>
        <v/>
      </c>
      <c r="W38" s="46" t="str">
        <f>IF(AND('Mapa final'!$AB$101="Muy Alta",'Mapa final'!$AD$101="Catastrófico"),CONCATENATE("R33C",'Mapa final'!$R$101),"")</f>
        <v/>
      </c>
      <c r="X38" s="114" t="str">
        <f>IF(AND('Mapa final'!$AB$102="Muy Alta",'Mapa final'!$AD$102="Catastrófico"),CONCATENATE("R34C",'Mapa final'!$R$102),"")</f>
        <v/>
      </c>
      <c r="Y38" s="58"/>
      <c r="Z38" s="378"/>
      <c r="AA38" s="379"/>
      <c r="AB38" s="379"/>
      <c r="AC38" s="379"/>
      <c r="AD38" s="379"/>
      <c r="AE38" s="380"/>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row>
    <row r="39" spans="1:61" ht="15" customHeight="1" x14ac:dyDescent="0.25">
      <c r="A39" s="58"/>
      <c r="B39" s="356"/>
      <c r="C39" s="356"/>
      <c r="D39" s="357"/>
      <c r="E39" s="371"/>
      <c r="F39" s="372"/>
      <c r="G39" s="372"/>
      <c r="H39" s="372"/>
      <c r="I39" s="370"/>
      <c r="J39" s="119" t="str">
        <f>IF(AND('Mapa final'!$AB$103="Muy Alta",'Mapa final'!$AD$103="Leve"),CONCATENATE("R34C",'Mapa final'!$R$103),"")</f>
        <v/>
      </c>
      <c r="K39" s="44" t="str">
        <f>IF(AND('Mapa final'!$AB$104="Muy Alta",'Mapa final'!$AD$104="Leve"),CONCATENATE("R34C",'Mapa final'!$R$104),"")</f>
        <v/>
      </c>
      <c r="L39" s="120" t="str">
        <f>IF(AND('Mapa final'!$AB$105="Muy Alta",'Mapa final'!$AD$105="Leve"),CONCATENATE("R35C",'Mapa final'!$R$105),"")</f>
        <v/>
      </c>
      <c r="M39" s="119" t="str">
        <f>IF(AND('Mapa final'!$AB$103="Muy Alta",'Mapa final'!$AD$103="Menor"),CONCATENATE("R34C",'Mapa final'!$R$103),"")</f>
        <v/>
      </c>
      <c r="N39" s="44" t="str">
        <f>IF(AND('Mapa final'!$AB$104="Muy Alta",'Mapa final'!$AD$104="Menor"),CONCATENATE("R34C",'Mapa final'!$R$104),"")</f>
        <v/>
      </c>
      <c r="O39" s="44" t="str">
        <f>IF(AND('Mapa final'!$AB$105="Muy Alta",'Mapa final'!$AD$105="Menor"),CONCATENATE("R35C",'Mapa final'!$R$105),"")</f>
        <v/>
      </c>
      <c r="P39" s="119" t="str">
        <f>IF(AND('Mapa final'!$AB$103="Muy Alta",'Mapa final'!$AD$103="Moderado"),CONCATENATE("R34C",'Mapa final'!$R$103),"")</f>
        <v/>
      </c>
      <c r="Q39" s="44" t="str">
        <f>IF(AND('Mapa final'!$AB$104="Muy Alta",'Mapa final'!$AD$104="Moderado"),CONCATENATE("R34C",'Mapa final'!$R$104),"")</f>
        <v/>
      </c>
      <c r="R39" s="120" t="str">
        <f>IF(AND('Mapa final'!$AB$105="Muy Alta",'Mapa final'!$AD$105="Moderado"),CONCATENATE("R35C",'Mapa final'!$R$105),"")</f>
        <v/>
      </c>
      <c r="S39" s="119" t="str">
        <f>IF(AND('Mapa final'!$AB$103="Muy Alta",'Mapa final'!$AD$103="Mayor"),CONCATENATE("R34C",'Mapa final'!$R$103),"")</f>
        <v/>
      </c>
      <c r="T39" s="44" t="str">
        <f>IF(AND('Mapa final'!$AB$104="Muy Alta",'Mapa final'!$AD$104="Mayor"),CONCATENATE("R34C",'Mapa final'!$R$104),"")</f>
        <v/>
      </c>
      <c r="U39" s="120" t="str">
        <f>IF(AND('Mapa final'!$AB$105="Muy Alta",'Mapa final'!$AD$105="Mayor"),CONCATENATE("R35C",'Mapa final'!$R$105),"")</f>
        <v/>
      </c>
      <c r="V39" s="45" t="str">
        <f>IF(AND('Mapa final'!$AB$103="Muy Alta",'Mapa final'!$AD$103="Catastrófico"),CONCATENATE("R34C",'Mapa final'!$R$103),"")</f>
        <v/>
      </c>
      <c r="W39" s="46" t="str">
        <f>IF(AND('Mapa final'!$AB$104="Muy Alta",'Mapa final'!$AD$104="Catastrófico"),CONCATENATE("R34C",'Mapa final'!$R$104),"")</f>
        <v/>
      </c>
      <c r="X39" s="114" t="str">
        <f>IF(AND('Mapa final'!$AB$105="Muy Alta",'Mapa final'!$AD$105="Catastrófico"),CONCATENATE("R35C",'Mapa final'!$R$105),"")</f>
        <v/>
      </c>
      <c r="Y39" s="58"/>
      <c r="Z39" s="378"/>
      <c r="AA39" s="379"/>
      <c r="AB39" s="379"/>
      <c r="AC39" s="379"/>
      <c r="AD39" s="379"/>
      <c r="AE39" s="380"/>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row>
    <row r="40" spans="1:61" ht="15" customHeight="1" x14ac:dyDescent="0.25">
      <c r="A40" s="58"/>
      <c r="B40" s="356"/>
      <c r="C40" s="356"/>
      <c r="D40" s="357"/>
      <c r="E40" s="371"/>
      <c r="F40" s="372"/>
      <c r="G40" s="372"/>
      <c r="H40" s="372"/>
      <c r="I40" s="370"/>
      <c r="J40" s="119" t="str">
        <f>IF(AND('Mapa final'!$AB$106="Muy Alta",'Mapa final'!$AD$106="Leve"),CONCATENATE("R35C",'Mapa final'!$R$106),"")</f>
        <v/>
      </c>
      <c r="K40" s="44" t="str">
        <f>IF(AND('Mapa final'!$AB$107="Muy Alta",'Mapa final'!$AD$107="Leve"),CONCATENATE("R35C",'Mapa final'!$R$107),"")</f>
        <v/>
      </c>
      <c r="L40" s="120" t="str">
        <f>IF(AND('Mapa final'!$AB$108="Muy Alta",'Mapa final'!$AD$108="Leve"),CONCATENATE("R36C",'Mapa final'!$R$108),"")</f>
        <v/>
      </c>
      <c r="M40" s="119" t="str">
        <f>IF(AND('Mapa final'!$AB$106="Muy Alta",'Mapa final'!$AD$106="Menor"),CONCATENATE("R35C",'Mapa final'!$R$106),"")</f>
        <v/>
      </c>
      <c r="N40" s="44" t="str">
        <f>IF(AND('Mapa final'!$AB$107="Muy Alta",'Mapa final'!$AD$107="Menor"),CONCATENATE("R35C",'Mapa final'!$R$107),"")</f>
        <v/>
      </c>
      <c r="O40" s="44" t="str">
        <f>IF(AND('Mapa final'!$AB$108="Muy Alta",'Mapa final'!$AD$108="Menor"),CONCATENATE("R36C",'Mapa final'!$R$108),"")</f>
        <v/>
      </c>
      <c r="P40" s="119" t="str">
        <f>IF(AND('Mapa final'!$AB$106="Muy Alta",'Mapa final'!$AD$106="Moderado"),CONCATENATE("R35C",'Mapa final'!$R$106),"")</f>
        <v/>
      </c>
      <c r="Q40" s="44" t="str">
        <f>IF(AND('Mapa final'!$AB$107="Muy Alta",'Mapa final'!$AD$107="Moderado"),CONCATENATE("R35C",'Mapa final'!$R$107),"")</f>
        <v/>
      </c>
      <c r="R40" s="120" t="str">
        <f>IF(AND('Mapa final'!$AB$108="Muy Alta",'Mapa final'!$AD$108="Moderado"),CONCATENATE("R36C",'Mapa final'!$R$108),"")</f>
        <v/>
      </c>
      <c r="S40" s="119" t="str">
        <f>IF(AND('Mapa final'!$AB$106="Muy Alta",'Mapa final'!$AD$106="Mayor"),CONCATENATE("R35C",'Mapa final'!$R$106),"")</f>
        <v/>
      </c>
      <c r="T40" s="44" t="str">
        <f>IF(AND('Mapa final'!$AB$107="Muy Alta",'Mapa final'!$AD$107="Mayor"),CONCATENATE("R35C",'Mapa final'!$R$107),"")</f>
        <v/>
      </c>
      <c r="U40" s="120" t="str">
        <f>IF(AND('Mapa final'!$AB$108="Muy Alta",'Mapa final'!$AD$108="Mayor"),CONCATENATE("R36C",'Mapa final'!$R$108),"")</f>
        <v/>
      </c>
      <c r="V40" s="45" t="str">
        <f>IF(AND('Mapa final'!$AB$106="Muy Alta",'Mapa final'!$AD$106="Catastrófico"),CONCATENATE("R35C",'Mapa final'!$R$106),"")</f>
        <v/>
      </c>
      <c r="W40" s="46" t="str">
        <f>IF(AND('Mapa final'!$AB$107="Muy Alta",'Mapa final'!$AD$107="Catastrófico"),CONCATENATE("R35C",'Mapa final'!$R$107),"")</f>
        <v/>
      </c>
      <c r="X40" s="114" t="str">
        <f>IF(AND('Mapa final'!$AB$108="Muy Alta",'Mapa final'!$AD$108="Catastrófico"),CONCATENATE("R36C",'Mapa final'!$R$108),"")</f>
        <v/>
      </c>
      <c r="Y40" s="58"/>
      <c r="Z40" s="378"/>
      <c r="AA40" s="379"/>
      <c r="AB40" s="379"/>
      <c r="AC40" s="379"/>
      <c r="AD40" s="379"/>
      <c r="AE40" s="380"/>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row>
    <row r="41" spans="1:61" ht="15" customHeight="1" x14ac:dyDescent="0.25">
      <c r="A41" s="58"/>
      <c r="B41" s="356"/>
      <c r="C41" s="356"/>
      <c r="D41" s="357"/>
      <c r="E41" s="371"/>
      <c r="F41" s="372"/>
      <c r="G41" s="372"/>
      <c r="H41" s="372"/>
      <c r="I41" s="370"/>
      <c r="J41" s="119" t="str">
        <f>IF(AND('Mapa final'!$AB$109="Muy Alta",'Mapa final'!$AD$109="Leve"),CONCATENATE("R36C",'Mapa final'!$R$109),"")</f>
        <v/>
      </c>
      <c r="K41" s="44" t="str">
        <f>IF(AND('Mapa final'!$AB$110="Muy Alta",'Mapa final'!$AD$110="Leve"),CONCATENATE("R36C",'Mapa final'!$R$110),"")</f>
        <v/>
      </c>
      <c r="L41" s="120" t="str">
        <f>IF(AND('Mapa final'!$AB$111="Muy Alta",'Mapa final'!$AD$111="Leve"),CONCATENATE("R37C",'Mapa final'!$R$111),"")</f>
        <v/>
      </c>
      <c r="M41" s="119" t="str">
        <f>IF(AND('Mapa final'!$AB$109="Muy Alta",'Mapa final'!$AD$109="Menor"),CONCATENATE("R36C",'Mapa final'!$R$109),"")</f>
        <v/>
      </c>
      <c r="N41" s="44" t="str">
        <f>IF(AND('Mapa final'!$AB$110="Muy Alta",'Mapa final'!$AD$110="Menor"),CONCATENATE("R36C",'Mapa final'!$R$110),"")</f>
        <v/>
      </c>
      <c r="O41" s="44" t="str">
        <f>IF(AND('Mapa final'!$AB$111="Muy Alta",'Mapa final'!$AD$111="Menor"),CONCATENATE("R37C",'Mapa final'!$R$111),"")</f>
        <v/>
      </c>
      <c r="P41" s="119" t="str">
        <f>IF(AND('Mapa final'!$AB$109="Muy Alta",'Mapa final'!$AD$109="Moderado"),CONCATENATE("R36C",'Mapa final'!$R$109),"")</f>
        <v/>
      </c>
      <c r="Q41" s="44" t="str">
        <f>IF(AND('Mapa final'!$AB$110="Muy Alta",'Mapa final'!$AD$110="Moderado"),CONCATENATE("R36C",'Mapa final'!$R$110),"")</f>
        <v/>
      </c>
      <c r="R41" s="120" t="str">
        <f>IF(AND('Mapa final'!$AB$111="Muy Alta",'Mapa final'!$AD$111="Moderado"),CONCATENATE("R37C",'Mapa final'!$R$111),"")</f>
        <v/>
      </c>
      <c r="S41" s="119" t="str">
        <f>IF(AND('Mapa final'!$AB$109="Muy Alta",'Mapa final'!$AD$109="Mayor"),CONCATENATE("R36C",'Mapa final'!$R$109),"")</f>
        <v/>
      </c>
      <c r="T41" s="44" t="str">
        <f>IF(AND('Mapa final'!$AB$110="Muy Alta",'Mapa final'!$AD$110="Mayor"),CONCATENATE("R36C",'Mapa final'!$R$110),"")</f>
        <v/>
      </c>
      <c r="U41" s="120" t="str">
        <f>IF(AND('Mapa final'!$AB$111="Muy Alta",'Mapa final'!$AD$111="Mayor"),CONCATENATE("R37C",'Mapa final'!$R$111),"")</f>
        <v/>
      </c>
      <c r="V41" s="45" t="str">
        <f>IF(AND('Mapa final'!$AB$109="Muy Alta",'Mapa final'!$AD$109="Catastrófico"),CONCATENATE("R36C",'Mapa final'!$R$109),"")</f>
        <v/>
      </c>
      <c r="W41" s="46" t="str">
        <f>IF(AND('Mapa final'!$AB$110="Muy Alta",'Mapa final'!$AD$110="Catastrófico"),CONCATENATE("R36C",'Mapa final'!$R$110),"")</f>
        <v/>
      </c>
      <c r="X41" s="114" t="str">
        <f>IF(AND('Mapa final'!$AB$111="Muy Alta",'Mapa final'!$AD$111="Catastrófico"),CONCATENATE("R37C",'Mapa final'!$R$111),"")</f>
        <v/>
      </c>
      <c r="Y41" s="58"/>
      <c r="Z41" s="378"/>
      <c r="AA41" s="379"/>
      <c r="AB41" s="379"/>
      <c r="AC41" s="379"/>
      <c r="AD41" s="379"/>
      <c r="AE41" s="380"/>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row>
    <row r="42" spans="1:61" ht="15" customHeight="1" x14ac:dyDescent="0.25">
      <c r="A42" s="58"/>
      <c r="B42" s="356"/>
      <c r="C42" s="356"/>
      <c r="D42" s="357"/>
      <c r="E42" s="371"/>
      <c r="F42" s="372"/>
      <c r="G42" s="372"/>
      <c r="H42" s="372"/>
      <c r="I42" s="370"/>
      <c r="J42" s="119" t="str">
        <f>IF(AND('Mapa final'!$AB$112="Muy Alta",'Mapa final'!$AD$112="Leve"),CONCATENATE("R37C",'Mapa final'!$R$112),"")</f>
        <v/>
      </c>
      <c r="K42" s="44" t="str">
        <f>IF(AND('Mapa final'!$AB$113="Muy Alta",'Mapa final'!$AD$113="Leve"),CONCATENATE("R37C",'Mapa final'!$R$113),"")</f>
        <v/>
      </c>
      <c r="L42" s="120" t="str">
        <f>IF(AND('Mapa final'!$AB$114="Muy Alta",'Mapa final'!$AD$114="Leve"),CONCATENATE("R38C",'Mapa final'!$R$114),"")</f>
        <v/>
      </c>
      <c r="M42" s="119" t="str">
        <f>IF(AND('Mapa final'!$AB$112="Muy Alta",'Mapa final'!$AD$112="Menor"),CONCATENATE("R37C",'Mapa final'!$R$112),"")</f>
        <v/>
      </c>
      <c r="N42" s="44" t="str">
        <f>IF(AND('Mapa final'!$AB$113="Muy Alta",'Mapa final'!$AD$113="Menor"),CONCATENATE("R37C",'Mapa final'!$R$113),"")</f>
        <v/>
      </c>
      <c r="O42" s="44" t="str">
        <f>IF(AND('Mapa final'!$AB$114="Muy Alta",'Mapa final'!$AD$114="Menor"),CONCATENATE("R38C",'Mapa final'!$R$114),"")</f>
        <v/>
      </c>
      <c r="P42" s="119" t="str">
        <f>IF(AND('Mapa final'!$AB$112="Muy Alta",'Mapa final'!$AD$112="Moderado"),CONCATENATE("R37C",'Mapa final'!$R$112),"")</f>
        <v/>
      </c>
      <c r="Q42" s="44" t="str">
        <f>IF(AND('Mapa final'!$AB$113="Muy Alta",'Mapa final'!$AD$113="Moderado"),CONCATENATE("R37C",'Mapa final'!$R$113),"")</f>
        <v/>
      </c>
      <c r="R42" s="120" t="str">
        <f>IF(AND('Mapa final'!$AB$114="Muy Alta",'Mapa final'!$AD$114="Moderado"),CONCATENATE("R38C",'Mapa final'!$R$114),"")</f>
        <v/>
      </c>
      <c r="S42" s="119" t="str">
        <f>IF(AND('Mapa final'!$AB$112="Muy Alta",'Mapa final'!$AD$112="Mayor"),CONCATENATE("R37C",'Mapa final'!$R$112),"")</f>
        <v/>
      </c>
      <c r="T42" s="44" t="str">
        <f>IF(AND('Mapa final'!$AB$113="Muy Alta",'Mapa final'!$AD$113="Mayor"),CONCATENATE("R37C",'Mapa final'!$R$113),"")</f>
        <v/>
      </c>
      <c r="U42" s="120" t="str">
        <f>IF(AND('Mapa final'!$AB$114="Muy Alta",'Mapa final'!$AD$114="Mayor"),CONCATENATE("R38C",'Mapa final'!$R$114),"")</f>
        <v/>
      </c>
      <c r="V42" s="45" t="str">
        <f>IF(AND('Mapa final'!$AB$112="Muy Alta",'Mapa final'!$AD$112="Catastrófico"),CONCATENATE("R37C",'Mapa final'!$R$112),"")</f>
        <v/>
      </c>
      <c r="W42" s="46" t="str">
        <f>IF(AND('Mapa final'!$AB$113="Muy Alta",'Mapa final'!$AD$113="Catastrófico"),CONCATENATE("R37C",'Mapa final'!$R$113),"")</f>
        <v/>
      </c>
      <c r="X42" s="114" t="str">
        <f>IF(AND('Mapa final'!$AB$114="Muy Alta",'Mapa final'!$AD$114="Catastrófico"),CONCATENATE("R38C",'Mapa final'!$R$114),"")</f>
        <v/>
      </c>
      <c r="Y42" s="58"/>
      <c r="Z42" s="378"/>
      <c r="AA42" s="379"/>
      <c r="AB42" s="379"/>
      <c r="AC42" s="379"/>
      <c r="AD42" s="379"/>
      <c r="AE42" s="380"/>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row>
    <row r="43" spans="1:61" ht="15" customHeight="1" x14ac:dyDescent="0.25">
      <c r="A43" s="58"/>
      <c r="B43" s="356"/>
      <c r="C43" s="356"/>
      <c r="D43" s="357"/>
      <c r="E43" s="371"/>
      <c r="F43" s="372"/>
      <c r="G43" s="372"/>
      <c r="H43" s="372"/>
      <c r="I43" s="370"/>
      <c r="J43" s="119" t="str">
        <f>IF(AND('Mapa final'!$AB$115="Muy Alta",'Mapa final'!$AD$115="Leve"),CONCATENATE("R38C",'Mapa final'!$R$115),"")</f>
        <v/>
      </c>
      <c r="K43" s="44" t="str">
        <f>IF(AND('Mapa final'!$AB$116="Muy Alta",'Mapa final'!$AD$116="Leve"),CONCATENATE("R38C",'Mapa final'!$R$116),"")</f>
        <v/>
      </c>
      <c r="L43" s="120" t="str">
        <f>IF(AND('Mapa final'!$AB$117="Muy Alta",'Mapa final'!$AD$117="Leve"),CONCATENATE("R39C",'Mapa final'!$R$117),"")</f>
        <v/>
      </c>
      <c r="M43" s="119" t="str">
        <f>IF(AND('Mapa final'!$AB$115="Muy Alta",'Mapa final'!$AD$115="Menor"),CONCATENATE("R38C",'Mapa final'!$R$115),"")</f>
        <v/>
      </c>
      <c r="N43" s="44" t="str">
        <f>IF(AND('Mapa final'!$AB$116="Muy Alta",'Mapa final'!$AD$116="Menor"),CONCATENATE("R38C",'Mapa final'!$R$116),"")</f>
        <v/>
      </c>
      <c r="O43" s="44" t="str">
        <f>IF(AND('Mapa final'!$AB$117="Muy Alta",'Mapa final'!$AD$117="Menor"),CONCATENATE("R39C",'Mapa final'!$R$117),"")</f>
        <v/>
      </c>
      <c r="P43" s="119" t="str">
        <f>IF(AND('Mapa final'!$AB$115="Muy Alta",'Mapa final'!$AD$115="Moderado"),CONCATENATE("R38C",'Mapa final'!$R$115),"")</f>
        <v/>
      </c>
      <c r="Q43" s="44" t="str">
        <f>IF(AND('Mapa final'!$AB$116="Muy Alta",'Mapa final'!$AD$116="Moderado"),CONCATENATE("R38C",'Mapa final'!$R$116),"")</f>
        <v/>
      </c>
      <c r="R43" s="120" t="str">
        <f>IF(AND('Mapa final'!$AB$117="Muy Alta",'Mapa final'!$AD$117="Moderado"),CONCATENATE("R39C",'Mapa final'!$R$117),"")</f>
        <v/>
      </c>
      <c r="S43" s="119" t="str">
        <f>IF(AND('Mapa final'!$AB$115="Muy Alta",'Mapa final'!$AD$115="Mayor"),CONCATENATE("R38C",'Mapa final'!$R$115),"")</f>
        <v/>
      </c>
      <c r="T43" s="44" t="str">
        <f>IF(AND('Mapa final'!$AB$116="Muy Alta",'Mapa final'!$AD$116="Mayor"),CONCATENATE("R38C",'Mapa final'!$R$116),"")</f>
        <v/>
      </c>
      <c r="U43" s="120" t="str">
        <f>IF(AND('Mapa final'!$AB$117="Muy Alta",'Mapa final'!$AD$117="Mayor"),CONCATENATE("R39C",'Mapa final'!$R$117),"")</f>
        <v/>
      </c>
      <c r="V43" s="45" t="str">
        <f>IF(AND('Mapa final'!$AB$115="Muy Alta",'Mapa final'!$AD$115="Catastrófico"),CONCATENATE("R38C",'Mapa final'!$R$115),"")</f>
        <v/>
      </c>
      <c r="W43" s="46" t="str">
        <f>IF(AND('Mapa final'!$AB$116="Muy Alta",'Mapa final'!$AD$116="Catastrófico"),CONCATENATE("R38C",'Mapa final'!$R$116),"")</f>
        <v/>
      </c>
      <c r="X43" s="114" t="str">
        <f>IF(AND('Mapa final'!$AB$117="Muy Alta",'Mapa final'!$AD$117="Catastrófico"),CONCATENATE("R39C",'Mapa final'!$R$117),"")</f>
        <v/>
      </c>
      <c r="Y43" s="58"/>
      <c r="Z43" s="378"/>
      <c r="AA43" s="379"/>
      <c r="AB43" s="379"/>
      <c r="AC43" s="379"/>
      <c r="AD43" s="379"/>
      <c r="AE43" s="380"/>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row>
    <row r="44" spans="1:61" ht="15" customHeight="1" x14ac:dyDescent="0.25">
      <c r="A44" s="58"/>
      <c r="B44" s="356"/>
      <c r="C44" s="356"/>
      <c r="D44" s="357"/>
      <c r="E44" s="371"/>
      <c r="F44" s="372"/>
      <c r="G44" s="372"/>
      <c r="H44" s="372"/>
      <c r="I44" s="370"/>
      <c r="J44" s="119" t="str">
        <f>IF(AND('Mapa final'!$AB$118="Muy Alta",'Mapa final'!$AD$118="Leve"),CONCATENATE("R39C",'Mapa final'!$R$118),"")</f>
        <v/>
      </c>
      <c r="K44" s="44" t="str">
        <f>IF(AND('Mapa final'!$AB$119="Muy Alta",'Mapa final'!$AD$119="Leve"),CONCATENATE("R39C",'Mapa final'!$R$119),"")</f>
        <v/>
      </c>
      <c r="L44" s="120" t="str">
        <f>IF(AND('Mapa final'!$AB$120="Muy Alta",'Mapa final'!$AD$120="Leve"),CONCATENATE("R40C",'Mapa final'!$R$120),"")</f>
        <v/>
      </c>
      <c r="M44" s="119" t="str">
        <f>IF(AND('Mapa final'!$AB$118="Muy Alta",'Mapa final'!$AD$118="Menor"),CONCATENATE("R39C",'Mapa final'!$R$118),"")</f>
        <v/>
      </c>
      <c r="N44" s="44" t="str">
        <f>IF(AND('Mapa final'!$AB$119="Muy Alta",'Mapa final'!$AD$119="Menor"),CONCATENATE("R39C",'Mapa final'!$R$119),"")</f>
        <v/>
      </c>
      <c r="O44" s="44" t="str">
        <f>IF(AND('Mapa final'!$AB$120="Muy Alta",'Mapa final'!$AD$120="Menor"),CONCATENATE("R40C",'Mapa final'!$R$120),"")</f>
        <v/>
      </c>
      <c r="P44" s="119" t="str">
        <f>IF(AND('Mapa final'!$AB$118="Muy Alta",'Mapa final'!$AD$118="Moderado"),CONCATENATE("R39C",'Mapa final'!$R$118),"")</f>
        <v/>
      </c>
      <c r="Q44" s="44" t="str">
        <f>IF(AND('Mapa final'!$AB$119="Muy Alta",'Mapa final'!$AD$119="Moderado"),CONCATENATE("R39C",'Mapa final'!$R$119),"")</f>
        <v/>
      </c>
      <c r="R44" s="120" t="str">
        <f>IF(AND('Mapa final'!$AB$120="Muy Alta",'Mapa final'!$AD$120="Moderado"),CONCATENATE("R40C",'Mapa final'!$R$120),"")</f>
        <v/>
      </c>
      <c r="S44" s="119" t="str">
        <f>IF(AND('Mapa final'!$AB$118="Muy Alta",'Mapa final'!$AD$118="Mayor"),CONCATENATE("R39C",'Mapa final'!$R$118),"")</f>
        <v/>
      </c>
      <c r="T44" s="44" t="str">
        <f>IF(AND('Mapa final'!$AB$119="Muy Alta",'Mapa final'!$AD$119="Mayor"),CONCATENATE("R39C",'Mapa final'!$R$119),"")</f>
        <v/>
      </c>
      <c r="U44" s="120" t="str">
        <f>IF(AND('Mapa final'!$AB$120="Muy Alta",'Mapa final'!$AD$120="Mayor"),CONCATENATE("R40C",'Mapa final'!$R$120),"")</f>
        <v/>
      </c>
      <c r="V44" s="45" t="str">
        <f>IF(AND('Mapa final'!$AB$118="Muy Alta",'Mapa final'!$AD$118="Catastrófico"),CONCATENATE("R39C",'Mapa final'!$R$118),"")</f>
        <v/>
      </c>
      <c r="W44" s="46" t="str">
        <f>IF(AND('Mapa final'!$AB$119="Muy Alta",'Mapa final'!$AD$119="Catastrófico"),CONCATENATE("R39C",'Mapa final'!$R$119),"")</f>
        <v/>
      </c>
      <c r="X44" s="114" t="str">
        <f>IF(AND('Mapa final'!$AB$120="Muy Alta",'Mapa final'!$AD$120="Catastrófico"),CONCATENATE("R40C",'Mapa final'!$R$120),"")</f>
        <v/>
      </c>
      <c r="Y44" s="58"/>
      <c r="Z44" s="378"/>
      <c r="AA44" s="379"/>
      <c r="AB44" s="379"/>
      <c r="AC44" s="379"/>
      <c r="AD44" s="379"/>
      <c r="AE44" s="380"/>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row>
    <row r="45" spans="1:61" ht="15" customHeight="1" x14ac:dyDescent="0.25">
      <c r="A45" s="58"/>
      <c r="B45" s="356"/>
      <c r="C45" s="356"/>
      <c r="D45" s="357"/>
      <c r="E45" s="371"/>
      <c r="F45" s="372"/>
      <c r="G45" s="372"/>
      <c r="H45" s="372"/>
      <c r="I45" s="370"/>
      <c r="J45" s="119" t="str">
        <f>IF(AND('Mapa final'!$AB$121="Muy Alta",'Mapa final'!$AD$121="Leve"),CONCATENATE("R40C",'Mapa final'!$R$121),"")</f>
        <v/>
      </c>
      <c r="K45" s="44" t="str">
        <f>IF(AND('Mapa final'!$AB$122="Muy Alta",'Mapa final'!$AD$122="Leve"),CONCATENATE("R40C",'Mapa final'!$R$122),"")</f>
        <v/>
      </c>
      <c r="L45" s="120" t="str">
        <f>IF(AND('Mapa final'!$AB$123="Muy Alta",'Mapa final'!$AD$123="Leve"),CONCATENATE("R40C",'Mapa final'!$R$123),"")</f>
        <v/>
      </c>
      <c r="M45" s="119" t="str">
        <f>IF(AND('Mapa final'!$AB$121="Muy Alta",'Mapa final'!$AD$121="Menor"),CONCATENATE("R40C",'Mapa final'!$R$121),"")</f>
        <v/>
      </c>
      <c r="N45" s="44" t="str">
        <f>IF(AND('Mapa final'!$AB$122="Muy Alta",'Mapa final'!$AD$122="Menor"),CONCATENATE("R40C",'Mapa final'!$R$122),"")</f>
        <v/>
      </c>
      <c r="O45" s="44" t="str">
        <f>IF(AND('Mapa final'!$AB$123="Muy Alta",'Mapa final'!$AD$123="Menor"),CONCATENATE("R40C",'Mapa final'!$R$123),"")</f>
        <v/>
      </c>
      <c r="P45" s="119" t="str">
        <f>IF(AND('Mapa final'!$AB$121="Muy Alta",'Mapa final'!$AD$121="Moderado"),CONCATENATE("R40C",'Mapa final'!$R$121),"")</f>
        <v/>
      </c>
      <c r="Q45" s="44" t="str">
        <f>IF(AND('Mapa final'!$AB$122="Muy Alta",'Mapa final'!$AD$122="Moderado"),CONCATENATE("R40C",'Mapa final'!$R$122),"")</f>
        <v/>
      </c>
      <c r="R45" s="120" t="str">
        <f>IF(AND('Mapa final'!$AB$123="Muy Alta",'Mapa final'!$AD$123="Moderado"),CONCATENATE("R40C",'Mapa final'!$R$123),"")</f>
        <v/>
      </c>
      <c r="S45" s="119" t="str">
        <f>IF(AND('Mapa final'!$AB$121="Muy Alta",'Mapa final'!$AD$121="Mayor"),CONCATENATE("R40C",'Mapa final'!$R$121),"")</f>
        <v/>
      </c>
      <c r="T45" s="44" t="str">
        <f>IF(AND('Mapa final'!$AB$122="Muy Alta",'Mapa final'!$AD$122="Mayor"),CONCATENATE("R40C",'Mapa final'!$R$122),"")</f>
        <v/>
      </c>
      <c r="U45" s="120" t="str">
        <f>IF(AND('Mapa final'!$AB$123="Muy Alta",'Mapa final'!$AD$123="Mayor"),CONCATENATE("R40C",'Mapa final'!$R$123),"")</f>
        <v/>
      </c>
      <c r="V45" s="45" t="str">
        <f>IF(AND('Mapa final'!$AB$121="Muy Alta",'Mapa final'!$AD$121="Catastrófico"),CONCATENATE("R40C",'Mapa final'!$R$121),"")</f>
        <v/>
      </c>
      <c r="W45" s="46" t="str">
        <f>IF(AND('Mapa final'!$AB$122="Muy Alta",'Mapa final'!$AD$122="Catastrófico"),CONCATENATE("R40C",'Mapa final'!$R$122),"")</f>
        <v/>
      </c>
      <c r="X45" s="114" t="str">
        <f>IF(AND('Mapa final'!$AB$123="Muy Alta",'Mapa final'!$AD$123="Catastrófico"),CONCATENATE("R40C",'Mapa final'!$R$123),"")</f>
        <v/>
      </c>
      <c r="Y45" s="58"/>
      <c r="Z45" s="378"/>
      <c r="AA45" s="379"/>
      <c r="AB45" s="379"/>
      <c r="AC45" s="379"/>
      <c r="AD45" s="379"/>
      <c r="AE45" s="380"/>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row>
    <row r="46" spans="1:61" ht="15" customHeight="1" x14ac:dyDescent="0.25">
      <c r="A46" s="58"/>
      <c r="B46" s="356"/>
      <c r="C46" s="356"/>
      <c r="D46" s="357"/>
      <c r="E46" s="371"/>
      <c r="F46" s="372"/>
      <c r="G46" s="372"/>
      <c r="H46" s="372"/>
      <c r="I46" s="370"/>
      <c r="J46" s="119" t="str">
        <f>IF(AND('Mapa final'!$AB$124="Muy Alta",'Mapa final'!$AD$124="Leve"),CONCATENATE("R41C",'Mapa final'!$R$124),"")</f>
        <v/>
      </c>
      <c r="K46" s="44" t="str">
        <f>IF(AND('Mapa final'!$AB$125="Muy Alta",'Mapa final'!$AD$125="Leve"),CONCATENATE("R41C",'Mapa final'!$R$125),"")</f>
        <v/>
      </c>
      <c r="L46" s="120" t="str">
        <f>IF(AND('Mapa final'!$AB$126="Muy Alta",'Mapa final'!$AD$126="Leve"),CONCATENATE("R41C",'Mapa final'!$R$126),"")</f>
        <v/>
      </c>
      <c r="M46" s="119" t="str">
        <f>IF(AND('Mapa final'!$AB$124="Muy Alta",'Mapa final'!$AD$124="Menor"),CONCATENATE("R41C",'Mapa final'!$R$124),"")</f>
        <v/>
      </c>
      <c r="N46" s="44" t="str">
        <f>IF(AND('Mapa final'!$AB$125="Muy Alta",'Mapa final'!$AD$125="Menor"),CONCATENATE("R41C",'Mapa final'!$R$125),"")</f>
        <v/>
      </c>
      <c r="O46" s="44" t="str">
        <f>IF(AND('Mapa final'!$AB$126="Muy Alta",'Mapa final'!$AD$126="Menor"),CONCATENATE("R41C",'Mapa final'!$R$126),"")</f>
        <v/>
      </c>
      <c r="P46" s="119" t="str">
        <f>IF(AND('Mapa final'!$AB$124="Muy Alta",'Mapa final'!$AD$124="Moderado"),CONCATENATE("R41C",'Mapa final'!$R$124),"")</f>
        <v/>
      </c>
      <c r="Q46" s="44" t="str">
        <f>IF(AND('Mapa final'!$AB$125="Muy Alta",'Mapa final'!$AD$125="Moderado"),CONCATENATE("R41C",'Mapa final'!$R$125),"")</f>
        <v/>
      </c>
      <c r="R46" s="120" t="str">
        <f>IF(AND('Mapa final'!$AB$126="Muy Alta",'Mapa final'!$AD$126="Moderado"),CONCATENATE("R41C",'Mapa final'!$R$126),"")</f>
        <v/>
      </c>
      <c r="S46" s="119" t="str">
        <f>IF(AND('Mapa final'!$AB$124="Muy Alta",'Mapa final'!$AD$124="Mayor"),CONCATENATE("R41C",'Mapa final'!$R$124),"")</f>
        <v/>
      </c>
      <c r="T46" s="44" t="str">
        <f>IF(AND('Mapa final'!$AB$125="Muy Alta",'Mapa final'!$AD$125="Mayor"),CONCATENATE("R41C",'Mapa final'!$R$125),"")</f>
        <v/>
      </c>
      <c r="U46" s="120" t="str">
        <f>IF(AND('Mapa final'!$AB$126="Muy Alta",'Mapa final'!$AD$126="Mayor"),CONCATENATE("R41C",'Mapa final'!$R$126),"")</f>
        <v/>
      </c>
      <c r="V46" s="45" t="str">
        <f>IF(AND('Mapa final'!$AB$124="Muy Alta",'Mapa final'!$AD$124="Catastrófico"),CONCATENATE("R41C",'Mapa final'!$R$124),"")</f>
        <v/>
      </c>
      <c r="W46" s="46" t="str">
        <f>IF(AND('Mapa final'!$AB$125="Muy Alta",'Mapa final'!$AD$125="Catastrófico"),CONCATENATE("R41C",'Mapa final'!$R$125),"")</f>
        <v/>
      </c>
      <c r="X46" s="114" t="str">
        <f>IF(AND('Mapa final'!$AB$126="Muy Alta",'Mapa final'!$AD$126="Catastrófico"),CONCATENATE("R41C",'Mapa final'!$R$126),"")</f>
        <v/>
      </c>
      <c r="Y46" s="58"/>
      <c r="Z46" s="378"/>
      <c r="AA46" s="379"/>
      <c r="AB46" s="379"/>
      <c r="AC46" s="379"/>
      <c r="AD46" s="379"/>
      <c r="AE46" s="380"/>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row>
    <row r="47" spans="1:61" ht="15" customHeight="1" x14ac:dyDescent="0.25">
      <c r="A47" s="58"/>
      <c r="B47" s="356"/>
      <c r="C47" s="356"/>
      <c r="D47" s="357"/>
      <c r="E47" s="371"/>
      <c r="F47" s="372"/>
      <c r="G47" s="372"/>
      <c r="H47" s="372"/>
      <c r="I47" s="370"/>
      <c r="J47" s="119" t="str">
        <f>IF(AND('Mapa final'!$AB$127="Muy Alta",'Mapa final'!$AD$127="Leve"),CONCATENATE("R42C",'Mapa final'!$R$127),"")</f>
        <v/>
      </c>
      <c r="K47" s="44" t="str">
        <f>IF(AND('Mapa final'!$AB$128="Muy Alta",'Mapa final'!$AD$128="Leve"),CONCATENATE("R42C",'Mapa final'!$R$128),"")</f>
        <v/>
      </c>
      <c r="L47" s="120" t="str">
        <f>IF(AND('Mapa final'!$AB$129="Muy Alta",'Mapa final'!$AD$129="Leve"),CONCATENATE("R2C",'Mapa final'!$R$129),"")</f>
        <v/>
      </c>
      <c r="M47" s="119" t="str">
        <f>IF(AND('Mapa final'!$AB$127="Muy Alta",'Mapa final'!$AD$127="Menor"),CONCATENATE("R42C",'Mapa final'!$R$127),"")</f>
        <v/>
      </c>
      <c r="N47" s="44" t="str">
        <f>IF(AND('Mapa final'!$AB$128="Muy Alta",'Mapa final'!$AD$128="Menor"),CONCATENATE("R42C",'Mapa final'!$R$128),"")</f>
        <v/>
      </c>
      <c r="O47" s="44" t="str">
        <f>IF(AND('Mapa final'!$AB$129="Muy Alta",'Mapa final'!$AD$129="Menor"),CONCATENATE("R2C",'Mapa final'!$R$129),"")</f>
        <v/>
      </c>
      <c r="P47" s="119" t="str">
        <f>IF(AND('Mapa final'!$AB$127="Muy Alta",'Mapa final'!$AD$127="Moderado"),CONCATENATE("R42C",'Mapa final'!$R$127),"")</f>
        <v/>
      </c>
      <c r="Q47" s="44" t="str">
        <f>IF(AND('Mapa final'!$AB$128="Muy Alta",'Mapa final'!$AD$128="Moderado"),CONCATENATE("R42C",'Mapa final'!$R$128),"")</f>
        <v/>
      </c>
      <c r="R47" s="120" t="str">
        <f>IF(AND('Mapa final'!$AB$129="Muy Alta",'Mapa final'!$AD$129="Moderado"),CONCATENATE("R2C",'Mapa final'!$R$129),"")</f>
        <v/>
      </c>
      <c r="S47" s="119" t="str">
        <f>IF(AND('Mapa final'!$AB$127="Muy Alta",'Mapa final'!$AD$127="Mayor"),CONCATENATE("R42C",'Mapa final'!$R$127),"")</f>
        <v/>
      </c>
      <c r="T47" s="44" t="str">
        <f>IF(AND('Mapa final'!$AB$128="Muy Alta",'Mapa final'!$AD$128="Mayor"),CONCATENATE("R42C",'Mapa final'!$R$128),"")</f>
        <v/>
      </c>
      <c r="U47" s="120" t="str">
        <f>IF(AND('Mapa final'!$AB$129="Muy Alta",'Mapa final'!$AD$129="Mayor"),CONCATENATE("R2C",'Mapa final'!$R$129),"")</f>
        <v/>
      </c>
      <c r="V47" s="45" t="str">
        <f>IF(AND('Mapa final'!$AB$127="Muy Alta",'Mapa final'!$AD$127="Catastrófico"),CONCATENATE("R42C",'Mapa final'!$R$127),"")</f>
        <v/>
      </c>
      <c r="W47" s="46" t="str">
        <f>IF(AND('Mapa final'!$AB$128="Muy Alta",'Mapa final'!$AD$128="Catastrófico"),CONCATENATE("R42C",'Mapa final'!$R$128),"")</f>
        <v/>
      </c>
      <c r="X47" s="114" t="str">
        <f>IF(AND('Mapa final'!$AB$129="Muy Alta",'Mapa final'!$AD$129="Catastrófico"),CONCATENATE("R2C",'Mapa final'!$R$129),"")</f>
        <v/>
      </c>
      <c r="Y47" s="58"/>
      <c r="Z47" s="378"/>
      <c r="AA47" s="379"/>
      <c r="AB47" s="379"/>
      <c r="AC47" s="379"/>
      <c r="AD47" s="379"/>
      <c r="AE47" s="380"/>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row>
    <row r="48" spans="1:61" ht="15" customHeight="1" x14ac:dyDescent="0.25">
      <c r="A48" s="58"/>
      <c r="B48" s="356"/>
      <c r="C48" s="356"/>
      <c r="D48" s="357"/>
      <c r="E48" s="371"/>
      <c r="F48" s="372"/>
      <c r="G48" s="372"/>
      <c r="H48" s="372"/>
      <c r="I48" s="370"/>
      <c r="J48" s="119" t="str">
        <f>IF(AND('Mapa final'!$AB$130="Muy Alta",'Mapa final'!$AD$130="Leve"),CONCATENATE("R43C",'Mapa final'!$R$130),"")</f>
        <v/>
      </c>
      <c r="K48" s="44" t="str">
        <f>IF(AND('Mapa final'!$AB$131="Muy Alta",'Mapa final'!$AD$131="Leve"),CONCATENATE("R43C",'Mapa final'!$R$131),"")</f>
        <v/>
      </c>
      <c r="L48" s="120" t="str">
        <f>IF(AND('Mapa final'!$AB$132="Muy Alta",'Mapa final'!$AD$132="Leve"),CONCATENATE("R43C",'Mapa final'!$R$132),"")</f>
        <v/>
      </c>
      <c r="M48" s="119" t="str">
        <f>IF(AND('Mapa final'!$AB$130="Muy Alta",'Mapa final'!$AD$130="Menor"),CONCATENATE("R43C",'Mapa final'!$R$130),"")</f>
        <v/>
      </c>
      <c r="N48" s="44" t="str">
        <f>IF(AND('Mapa final'!$AB$131="Muy Alta",'Mapa final'!$AD$131="Menor"),CONCATENATE("R43C",'Mapa final'!$R$131),"")</f>
        <v/>
      </c>
      <c r="O48" s="44" t="str">
        <f>IF(AND('Mapa final'!$AB$132="Muy Alta",'Mapa final'!$AD$132="Menor"),CONCATENATE("R43C",'Mapa final'!$R$132),"")</f>
        <v/>
      </c>
      <c r="P48" s="119" t="str">
        <f>IF(AND('Mapa final'!$AB$130="Muy Alta",'Mapa final'!$AD$130="Moderado"),CONCATENATE("R43C",'Mapa final'!$R$130),"")</f>
        <v/>
      </c>
      <c r="Q48" s="44" t="str">
        <f>IF(AND('Mapa final'!$AB$131="Muy Alta",'Mapa final'!$AD$131="Moderado"),CONCATENATE("R43C",'Mapa final'!$R$131),"")</f>
        <v/>
      </c>
      <c r="R48" s="120" t="str">
        <f>IF(AND('Mapa final'!$AB$132="Muy Alta",'Mapa final'!$AD$132="Moderado"),CONCATENATE("R43C",'Mapa final'!$R$132),"")</f>
        <v/>
      </c>
      <c r="S48" s="119" t="str">
        <f>IF(AND('Mapa final'!$AB$130="Muy Alta",'Mapa final'!$AD$130="Mayor"),CONCATENATE("R43C",'Mapa final'!$R$130),"")</f>
        <v/>
      </c>
      <c r="T48" s="44" t="str">
        <f>IF(AND('Mapa final'!$AB$131="Muy Alta",'Mapa final'!$AD$131="Mayor"),CONCATENATE("R43C",'Mapa final'!$R$131),"")</f>
        <v/>
      </c>
      <c r="U48" s="120" t="str">
        <f>IF(AND('Mapa final'!$AB$132="Muy Alta",'Mapa final'!$AD$132="Mayor"),CONCATENATE("R43C",'Mapa final'!$R$132),"")</f>
        <v/>
      </c>
      <c r="V48" s="45" t="str">
        <f>IF(AND('Mapa final'!$AB$130="Muy Alta",'Mapa final'!$AD$130="Catastrófico"),CONCATENATE("R43C",'Mapa final'!$R$130),"")</f>
        <v/>
      </c>
      <c r="W48" s="46" t="str">
        <f>IF(AND('Mapa final'!$AB$131="Muy Alta",'Mapa final'!$AD$131="Catastrófico"),CONCATENATE("R43C",'Mapa final'!$R$131),"")</f>
        <v/>
      </c>
      <c r="X48" s="114" t="str">
        <f>IF(AND('Mapa final'!$AB$132="Muy Alta",'Mapa final'!$AD$132="Catastrófico"),CONCATENATE("R43C",'Mapa final'!$R$132),"")</f>
        <v/>
      </c>
      <c r="Y48" s="58"/>
      <c r="Z48" s="378"/>
      <c r="AA48" s="379"/>
      <c r="AB48" s="379"/>
      <c r="AC48" s="379"/>
      <c r="AD48" s="379"/>
      <c r="AE48" s="380"/>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row>
    <row r="49" spans="1:61" ht="15" customHeight="1" x14ac:dyDescent="0.25">
      <c r="A49" s="58"/>
      <c r="B49" s="356"/>
      <c r="C49" s="356"/>
      <c r="D49" s="357"/>
      <c r="E49" s="371"/>
      <c r="F49" s="372"/>
      <c r="G49" s="372"/>
      <c r="H49" s="372"/>
      <c r="I49" s="370"/>
      <c r="J49" s="119" t="str">
        <f>IF(AND('Mapa final'!$AB$133="Muy Alta",'Mapa final'!$AD$133="Leve"),CONCATENATE("R44C",'Mapa final'!$R$133),"")</f>
        <v/>
      </c>
      <c r="K49" s="44" t="str">
        <f>IF(AND('Mapa final'!$AB$134="Muy Alta",'Mapa final'!$AD$134="Leve"),CONCATENATE("R44C",'Mapa final'!$R$134),"")</f>
        <v/>
      </c>
      <c r="L49" s="120" t="str">
        <f>IF(AND('Mapa final'!$AB$135="Muy Alta",'Mapa final'!$AD$135="Leve"),CONCATENATE("R44C",'Mapa final'!$R$135),"")</f>
        <v/>
      </c>
      <c r="M49" s="119" t="str">
        <f>IF(AND('Mapa final'!$AB$133="Muy Alta",'Mapa final'!$AD$133="Menor"),CONCATENATE("R44C",'Mapa final'!$R$133),"")</f>
        <v/>
      </c>
      <c r="N49" s="44" t="str">
        <f>IF(AND('Mapa final'!$AB$134="Muy Alta",'Mapa final'!$AD$134="Menor"),CONCATENATE("R44C",'Mapa final'!$R$134),"")</f>
        <v/>
      </c>
      <c r="O49" s="44" t="str">
        <f>IF(AND('Mapa final'!$AB$135="Muy Alta",'Mapa final'!$AD$135="Menor"),CONCATENATE("R44C",'Mapa final'!$R$135),"")</f>
        <v/>
      </c>
      <c r="P49" s="119" t="str">
        <f>IF(AND('Mapa final'!$AB$133="Muy Alta",'Mapa final'!$AD$133="Moderado"),CONCATENATE("R44C",'Mapa final'!$R$133),"")</f>
        <v/>
      </c>
      <c r="Q49" s="44" t="str">
        <f>IF(AND('Mapa final'!$AB$134="Muy Alta",'Mapa final'!$AD$134="Moderado"),CONCATENATE("R44C",'Mapa final'!$R$134),"")</f>
        <v/>
      </c>
      <c r="R49" s="120" t="str">
        <f>IF(AND('Mapa final'!$AB$135="Muy Alta",'Mapa final'!$AD$135="Moderado"),CONCATENATE("R44C",'Mapa final'!$R$135),"")</f>
        <v/>
      </c>
      <c r="S49" s="119" t="str">
        <f>IF(AND('Mapa final'!$AB$133="Muy Alta",'Mapa final'!$AD$133="Mayor"),CONCATENATE("R44C",'Mapa final'!$R$133),"")</f>
        <v/>
      </c>
      <c r="T49" s="44" t="str">
        <f>IF(AND('Mapa final'!$AB$134="Muy Alta",'Mapa final'!$AD$134="Mayor"),CONCATENATE("R44C",'Mapa final'!$R$134),"")</f>
        <v/>
      </c>
      <c r="U49" s="120" t="str">
        <f>IF(AND('Mapa final'!$AB$135="Muy Alta",'Mapa final'!$AD$135="Mayor"),CONCATENATE("R44C",'Mapa final'!$R$135),"")</f>
        <v/>
      </c>
      <c r="V49" s="45" t="str">
        <f>IF(AND('Mapa final'!$AB$133="Muy Alta",'Mapa final'!$AD$133="Catastrófico"),CONCATENATE("R44C",'Mapa final'!$R$133),"")</f>
        <v/>
      </c>
      <c r="W49" s="46" t="str">
        <f>IF(AND('Mapa final'!$AB$134="Muy Alta",'Mapa final'!$AD$134="Catastrófico"),CONCATENATE("R44C",'Mapa final'!$R$134),"")</f>
        <v/>
      </c>
      <c r="X49" s="114" t="str">
        <f>IF(AND('Mapa final'!$AB$135="Muy Alta",'Mapa final'!$AD$135="Catastrófico"),CONCATENATE("R44C",'Mapa final'!$R$135),"")</f>
        <v/>
      </c>
      <c r="Y49" s="58"/>
      <c r="Z49" s="378"/>
      <c r="AA49" s="379"/>
      <c r="AB49" s="379"/>
      <c r="AC49" s="379"/>
      <c r="AD49" s="379"/>
      <c r="AE49" s="380"/>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row>
    <row r="50" spans="1:61" ht="15" customHeight="1" x14ac:dyDescent="0.25">
      <c r="A50" s="58"/>
      <c r="B50" s="356"/>
      <c r="C50" s="356"/>
      <c r="D50" s="357"/>
      <c r="E50" s="371"/>
      <c r="F50" s="372"/>
      <c r="G50" s="372"/>
      <c r="H50" s="372"/>
      <c r="I50" s="370"/>
      <c r="J50" s="119" t="str">
        <f>IF(AND('Mapa final'!$AB$136="Muy Alta",'Mapa final'!$AD$136="Leve"),CONCATENATE("R45C",'Mapa final'!$R$136),"")</f>
        <v/>
      </c>
      <c r="K50" s="44" t="str">
        <f>IF(AND('Mapa final'!$AB$137="Muy Alta",'Mapa final'!$AD$137="Leve"),CONCATENATE("R45C",'Mapa final'!$R$137),"")</f>
        <v/>
      </c>
      <c r="L50" s="120" t="str">
        <f>IF(AND('Mapa final'!$AB$138="Muy Alta",'Mapa final'!$AD$138="Leve"),CONCATENATE("R45C",'Mapa final'!$R$138),"")</f>
        <v/>
      </c>
      <c r="M50" s="119" t="str">
        <f>IF(AND('Mapa final'!$AB$136="Muy Alta",'Mapa final'!$AD$136="Menor"),CONCATENATE("R45C",'Mapa final'!$R$136),"")</f>
        <v/>
      </c>
      <c r="N50" s="44" t="str">
        <f>IF(AND('Mapa final'!$AB$137="Muy Alta",'Mapa final'!$AD$137="Menor"),CONCATENATE("R45C",'Mapa final'!$R$137),"")</f>
        <v/>
      </c>
      <c r="O50" s="44" t="str">
        <f>IF(AND('Mapa final'!$AB$138="Muy Alta",'Mapa final'!$AD$138="Menor"),CONCATENATE("R45C",'Mapa final'!$R$138),"")</f>
        <v/>
      </c>
      <c r="P50" s="119" t="str">
        <f>IF(AND('Mapa final'!$AB$136="Muy Alta",'Mapa final'!$AD$136="Moderado"),CONCATENATE("R45C",'Mapa final'!$R$136),"")</f>
        <v/>
      </c>
      <c r="Q50" s="44" t="str">
        <f>IF(AND('Mapa final'!$AB$137="Muy Alta",'Mapa final'!$AD$137="Moderado"),CONCATENATE("R45C",'Mapa final'!$R$137),"")</f>
        <v/>
      </c>
      <c r="R50" s="120" t="str">
        <f>IF(AND('Mapa final'!$AB$138="Muy Alta",'Mapa final'!$AD$138="Moderado"),CONCATENATE("R45C",'Mapa final'!$R$138),"")</f>
        <v/>
      </c>
      <c r="S50" s="119" t="str">
        <f>IF(AND('Mapa final'!$AB$136="Muy Alta",'Mapa final'!$AD$136="Mayor"),CONCATENATE("R45C",'Mapa final'!$R$136),"")</f>
        <v/>
      </c>
      <c r="T50" s="44" t="str">
        <f>IF(AND('Mapa final'!$AB$137="Muy Alta",'Mapa final'!$AD$137="Mayor"),CONCATENATE("R45C",'Mapa final'!$R$137),"")</f>
        <v/>
      </c>
      <c r="U50" s="120" t="str">
        <f>IF(AND('Mapa final'!$AB$138="Muy Alta",'Mapa final'!$AD$138="Mayor"),CONCATENATE("R45C",'Mapa final'!$R$138),"")</f>
        <v/>
      </c>
      <c r="V50" s="45" t="str">
        <f>IF(AND('Mapa final'!$AB$136="Muy Alta",'Mapa final'!$AD$136="Catastrófico"),CONCATENATE("R45C",'Mapa final'!$R$136),"")</f>
        <v/>
      </c>
      <c r="W50" s="46" t="str">
        <f>IF(AND('Mapa final'!$AB$137="Muy Alta",'Mapa final'!$AD$137="Catastrófico"),CONCATENATE("R45C",'Mapa final'!$R$137),"")</f>
        <v/>
      </c>
      <c r="X50" s="114" t="str">
        <f>IF(AND('Mapa final'!$AB$138="Muy Alta",'Mapa final'!$AD$138="Catastrófico"),CONCATENATE("R45C",'Mapa final'!$R$138),"")</f>
        <v/>
      </c>
      <c r="Y50" s="58"/>
      <c r="Z50" s="378"/>
      <c r="AA50" s="379"/>
      <c r="AB50" s="379"/>
      <c r="AC50" s="379"/>
      <c r="AD50" s="379"/>
      <c r="AE50" s="380"/>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row>
    <row r="51" spans="1:61" ht="15" customHeight="1" x14ac:dyDescent="0.25">
      <c r="A51" s="58"/>
      <c r="B51" s="356"/>
      <c r="C51" s="356"/>
      <c r="D51" s="357"/>
      <c r="E51" s="371"/>
      <c r="F51" s="372"/>
      <c r="G51" s="372"/>
      <c r="H51" s="372"/>
      <c r="I51" s="370"/>
      <c r="J51" s="119" t="str">
        <f>IF(AND('Mapa final'!$AB$139="Muy Alta",'Mapa final'!$AD$139="Leve"),CONCATENATE("R46C",'Mapa final'!$R$139),"")</f>
        <v/>
      </c>
      <c r="K51" s="44" t="str">
        <f>IF(AND('Mapa final'!$AB$140="Muy Alta",'Mapa final'!$AD$140="Leve"),CONCATENATE("R46C",'Mapa final'!$R$140),"")</f>
        <v/>
      </c>
      <c r="L51" s="120" t="str">
        <f>IF(AND('Mapa final'!$AB$141="Muy Alta",'Mapa final'!$AD$141="Leve"),CONCATENATE("R46C",'Mapa final'!$R$141),"")</f>
        <v/>
      </c>
      <c r="M51" s="119" t="str">
        <f>IF(AND('Mapa final'!$AB$139="Muy Alta",'Mapa final'!$AD$139="Menor"),CONCATENATE("R46C",'Mapa final'!$R$139),"")</f>
        <v/>
      </c>
      <c r="N51" s="44" t="str">
        <f>IF(AND('Mapa final'!$AB$140="Muy Alta",'Mapa final'!$AD$140="Menor"),CONCATENATE("R46C",'Mapa final'!$R$140),"")</f>
        <v/>
      </c>
      <c r="O51" s="44" t="str">
        <f>IF(AND('Mapa final'!$AB$141="Muy Alta",'Mapa final'!$AD$141="Menor"),CONCATENATE("R46C",'Mapa final'!$R$141),"")</f>
        <v/>
      </c>
      <c r="P51" s="119" t="str">
        <f>IF(AND('Mapa final'!$AB$139="Muy Alta",'Mapa final'!$AD$139="Moderado"),CONCATENATE("R46C",'Mapa final'!$R$139),"")</f>
        <v/>
      </c>
      <c r="Q51" s="44" t="str">
        <f>IF(AND('Mapa final'!$AB$140="Muy Alta",'Mapa final'!$AD$140="Moderado"),CONCATENATE("R46C",'Mapa final'!$R$140),"")</f>
        <v/>
      </c>
      <c r="R51" s="120" t="str">
        <f>IF(AND('Mapa final'!$AB$141="Muy Alta",'Mapa final'!$AD$141="Moderado"),CONCATENATE("R46C",'Mapa final'!$R$141),"")</f>
        <v/>
      </c>
      <c r="S51" s="119" t="str">
        <f>IF(AND('Mapa final'!$AB$139="Muy Alta",'Mapa final'!$AD$139="Mayor"),CONCATENATE("R46C",'Mapa final'!$R$139),"")</f>
        <v/>
      </c>
      <c r="T51" s="44" t="str">
        <f>IF(AND('Mapa final'!$AB$140="Muy Alta",'Mapa final'!$AD$140="Mayor"),CONCATENATE("R46C",'Mapa final'!$R$140),"")</f>
        <v/>
      </c>
      <c r="U51" s="120" t="str">
        <f>IF(AND('Mapa final'!$AB$141="Muy Alta",'Mapa final'!$AD$141="Mayor"),CONCATENATE("R46C",'Mapa final'!$R$141),"")</f>
        <v/>
      </c>
      <c r="V51" s="45" t="str">
        <f>IF(AND('Mapa final'!$AB$139="Muy Alta",'Mapa final'!$AD$139="Catastrófico"),CONCATENATE("R46C",'Mapa final'!$R$139),"")</f>
        <v/>
      </c>
      <c r="W51" s="46" t="str">
        <f>IF(AND('Mapa final'!$AB$140="Muy Alta",'Mapa final'!$AD$140="Catastrófico"),CONCATENATE("R46C",'Mapa final'!$R$140),"")</f>
        <v/>
      </c>
      <c r="X51" s="114" t="str">
        <f>IF(AND('Mapa final'!$AB$141="Muy Alta",'Mapa final'!$AD$141="Catastrófico"),CONCATENATE("R46C",'Mapa final'!$R$141),"")</f>
        <v/>
      </c>
      <c r="Y51" s="58"/>
      <c r="Z51" s="378"/>
      <c r="AA51" s="379"/>
      <c r="AB51" s="379"/>
      <c r="AC51" s="379"/>
      <c r="AD51" s="379"/>
      <c r="AE51" s="380"/>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row>
    <row r="52" spans="1:61" ht="15" customHeight="1" x14ac:dyDescent="0.25">
      <c r="A52" s="58"/>
      <c r="B52" s="356"/>
      <c r="C52" s="356"/>
      <c r="D52" s="357"/>
      <c r="E52" s="371"/>
      <c r="F52" s="372"/>
      <c r="G52" s="372"/>
      <c r="H52" s="372"/>
      <c r="I52" s="370"/>
      <c r="J52" s="119" t="str">
        <f>IF(AND('Mapa final'!$AB$142="Muy Alta",'Mapa final'!$AD$142="Leve"),CONCATENATE("R47C",'Mapa final'!$R$142),"")</f>
        <v/>
      </c>
      <c r="K52" s="44" t="str">
        <f>IF(AND('Mapa final'!$AB$143="Muy Alta",'Mapa final'!$AD$143="Leve"),CONCATENATE("R47C",'Mapa final'!$R$143),"")</f>
        <v/>
      </c>
      <c r="L52" s="120" t="str">
        <f>IF(AND('Mapa final'!$AB$144="Muy Alta",'Mapa final'!$AD$144="Leve"),CONCATENATE("R47C",'Mapa final'!$R$144),"")</f>
        <v/>
      </c>
      <c r="M52" s="119" t="str">
        <f>IF(AND('Mapa final'!$AB$142="Muy Alta",'Mapa final'!$AD$142="Menor"),CONCATENATE("R47C",'Mapa final'!$R$142),"")</f>
        <v/>
      </c>
      <c r="N52" s="44" t="str">
        <f>IF(AND('Mapa final'!$AB$143="Muy Alta",'Mapa final'!$AD$143="Menor"),CONCATENATE("R47C",'Mapa final'!$R$143),"")</f>
        <v/>
      </c>
      <c r="O52" s="44" t="str">
        <f>IF(AND('Mapa final'!$AB$144="Muy Alta",'Mapa final'!$AD$144="Menor"),CONCATENATE("R47C",'Mapa final'!$R$144),"")</f>
        <v/>
      </c>
      <c r="P52" s="119" t="str">
        <f>IF(AND('Mapa final'!$AB$142="Muy Alta",'Mapa final'!$AD$142="Moderado"),CONCATENATE("R47C",'Mapa final'!$R$142),"")</f>
        <v/>
      </c>
      <c r="Q52" s="44" t="str">
        <f>IF(AND('Mapa final'!$AB$143="Muy Alta",'Mapa final'!$AD$143="Moderado"),CONCATENATE("R47C",'Mapa final'!$R$143),"")</f>
        <v/>
      </c>
      <c r="R52" s="120" t="str">
        <f>IF(AND('Mapa final'!$AB$144="Muy Alta",'Mapa final'!$AD$144="Moderado"),CONCATENATE("R47C",'Mapa final'!$R$144),"")</f>
        <v/>
      </c>
      <c r="S52" s="119" t="str">
        <f>IF(AND('Mapa final'!$AB$142="Muy Alta",'Mapa final'!$AD$142="Mayor"),CONCATENATE("R47C",'Mapa final'!$R$142),"")</f>
        <v/>
      </c>
      <c r="T52" s="44" t="str">
        <f>IF(AND('Mapa final'!$AB$143="Muy Alta",'Mapa final'!$AD$143="Mayor"),CONCATENATE("R47C",'Mapa final'!$R$143),"")</f>
        <v/>
      </c>
      <c r="U52" s="120" t="str">
        <f>IF(AND('Mapa final'!$AB$144="Muy Alta",'Mapa final'!$AD$144="Mayor"),CONCATENATE("R47C",'Mapa final'!$R$144),"")</f>
        <v/>
      </c>
      <c r="V52" s="45" t="str">
        <f>IF(AND('Mapa final'!$AB$142="Muy Alta",'Mapa final'!$AD$142="Catastrófico"),CONCATENATE("R47C",'Mapa final'!$R$142),"")</f>
        <v/>
      </c>
      <c r="W52" s="46" t="str">
        <f>IF(AND('Mapa final'!$AB$143="Muy Alta",'Mapa final'!$AD$143="Catastrófico"),CONCATENATE("R47C",'Mapa final'!$R$143),"")</f>
        <v/>
      </c>
      <c r="X52" s="114" t="str">
        <f>IF(AND('Mapa final'!$AB$144="Muy Alta",'Mapa final'!$AD$144="Catastrófico"),CONCATENATE("R47C",'Mapa final'!$R$144),"")</f>
        <v/>
      </c>
      <c r="Y52" s="58"/>
      <c r="Z52" s="378"/>
      <c r="AA52" s="379"/>
      <c r="AB52" s="379"/>
      <c r="AC52" s="379"/>
      <c r="AD52" s="379"/>
      <c r="AE52" s="380"/>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row>
    <row r="53" spans="1:61" ht="15" customHeight="1" x14ac:dyDescent="0.25">
      <c r="A53" s="58"/>
      <c r="B53" s="356"/>
      <c r="C53" s="356"/>
      <c r="D53" s="357"/>
      <c r="E53" s="371"/>
      <c r="F53" s="372"/>
      <c r="G53" s="372"/>
      <c r="H53" s="372"/>
      <c r="I53" s="370"/>
      <c r="J53" s="119" t="str">
        <f>IF(AND('Mapa final'!$AB$145="Muy Alta",'Mapa final'!$AD$145="Leve"),CONCATENATE("R48C",'Mapa final'!$R$145),"")</f>
        <v/>
      </c>
      <c r="K53" s="44" t="str">
        <f>IF(AND('Mapa final'!$AB$146="Muy Alta",'Mapa final'!$AD$146="Leve"),CONCATENATE("R48C",'Mapa final'!$R$146),"")</f>
        <v/>
      </c>
      <c r="L53" s="120" t="str">
        <f>IF(AND('Mapa final'!$AB$147="Muy Alta",'Mapa final'!$AD$147="Leve"),CONCATENATE("R48C",'Mapa final'!$R$147),"")</f>
        <v/>
      </c>
      <c r="M53" s="119" t="str">
        <f>IF(AND('Mapa final'!$AB$145="Muy Alta",'Mapa final'!$AD$145="Menor"),CONCATENATE("R48C",'Mapa final'!$R$145),"")</f>
        <v/>
      </c>
      <c r="N53" s="44" t="str">
        <f>IF(AND('Mapa final'!$AB$146="Muy Alta",'Mapa final'!$AD$146="Menor"),CONCATENATE("R48C",'Mapa final'!$R$146),"")</f>
        <v/>
      </c>
      <c r="O53" s="44" t="str">
        <f>IF(AND('Mapa final'!$AB$147="Muy Alta",'Mapa final'!$AD$147="Menor"),CONCATENATE("R48C",'Mapa final'!$R$147),"")</f>
        <v/>
      </c>
      <c r="P53" s="119" t="str">
        <f>IF(AND('Mapa final'!$AB$145="Muy Alta",'Mapa final'!$AD$145="Moderado"),CONCATENATE("R48C",'Mapa final'!$R$145),"")</f>
        <v/>
      </c>
      <c r="Q53" s="44" t="str">
        <f>IF(AND('Mapa final'!$AB$146="Muy Alta",'Mapa final'!$AD$146="Moderado"),CONCATENATE("R48C",'Mapa final'!$R$146),"")</f>
        <v/>
      </c>
      <c r="R53" s="120" t="str">
        <f>IF(AND('Mapa final'!$AB$147="Muy Alta",'Mapa final'!$AD$147="Moderado"),CONCATENATE("R48C",'Mapa final'!$R$147),"")</f>
        <v/>
      </c>
      <c r="S53" s="119" t="str">
        <f>IF(AND('Mapa final'!$AB$145="Muy Alta",'Mapa final'!$AD$145="Mayor"),CONCATENATE("R48C",'Mapa final'!$R$145),"")</f>
        <v/>
      </c>
      <c r="T53" s="44" t="str">
        <f>IF(AND('Mapa final'!$AB$146="Muy Alta",'Mapa final'!$AD$146="Mayor"),CONCATENATE("R48C",'Mapa final'!$R$146),"")</f>
        <v/>
      </c>
      <c r="U53" s="120" t="str">
        <f>IF(AND('Mapa final'!$AB$147="Muy Alta",'Mapa final'!$AD$147="Mayor"),CONCATENATE("R48C",'Mapa final'!$R$147),"")</f>
        <v/>
      </c>
      <c r="V53" s="45" t="str">
        <f>IF(AND('Mapa final'!$AB$145="Muy Alta",'Mapa final'!$AD$145="Catastrófico"),CONCATENATE("R48C",'Mapa final'!$R$145),"")</f>
        <v/>
      </c>
      <c r="W53" s="46" t="str">
        <f>IF(AND('Mapa final'!$AB$146="Muy Alta",'Mapa final'!$AD$146="Catastrófico"),CONCATENATE("R48C",'Mapa final'!$R$146),"")</f>
        <v/>
      </c>
      <c r="X53" s="114" t="str">
        <f>IF(AND('Mapa final'!$AB$147="Muy Alta",'Mapa final'!$AD$147="Catastrófico"),CONCATENATE("R48C",'Mapa final'!$R$147),"")</f>
        <v/>
      </c>
      <c r="Y53" s="58"/>
      <c r="Z53" s="378"/>
      <c r="AA53" s="379"/>
      <c r="AB53" s="379"/>
      <c r="AC53" s="379"/>
      <c r="AD53" s="379"/>
      <c r="AE53" s="380"/>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row>
    <row r="54" spans="1:61" ht="15" customHeight="1" x14ac:dyDescent="0.25">
      <c r="A54" s="58"/>
      <c r="B54" s="356"/>
      <c r="C54" s="356"/>
      <c r="D54" s="357"/>
      <c r="E54" s="371"/>
      <c r="F54" s="372"/>
      <c r="G54" s="372"/>
      <c r="H54" s="372"/>
      <c r="I54" s="370"/>
      <c r="J54" s="119" t="str">
        <f>IF(AND('Mapa final'!$AB$148="Muy Alta",'Mapa final'!$AD$148="Leve"),CONCATENATE("R49C",'Mapa final'!$R$148),"")</f>
        <v/>
      </c>
      <c r="K54" s="44" t="str">
        <f>IF(AND('Mapa final'!$AB$149="Muy Alta",'Mapa final'!$AD$149="Leve"),CONCATENATE("R49C",'Mapa final'!$R$149),"")</f>
        <v/>
      </c>
      <c r="L54" s="120" t="str">
        <f>IF(AND('Mapa final'!$AB$150="Muy Alta",'Mapa final'!$AD$150="Leve"),CONCATENATE("R49C",'Mapa final'!$R$150),"")</f>
        <v/>
      </c>
      <c r="M54" s="119" t="str">
        <f>IF(AND('Mapa final'!$AB$148="Muy Alta",'Mapa final'!$AD$148="Menor"),CONCATENATE("R49C",'Mapa final'!$R$148),"")</f>
        <v/>
      </c>
      <c r="N54" s="44" t="str">
        <f>IF(AND('Mapa final'!$AB$149="Muy Alta",'Mapa final'!$AD$149="Menor"),CONCATENATE("R49C",'Mapa final'!$R$149),"")</f>
        <v/>
      </c>
      <c r="O54" s="44" t="str">
        <f>IF(AND('Mapa final'!$AB$150="Muy Alta",'Mapa final'!$AD$150="Menor"),CONCATENATE("R49C",'Mapa final'!$R$150),"")</f>
        <v/>
      </c>
      <c r="P54" s="119" t="str">
        <f>IF(AND('Mapa final'!$AB$148="Muy Alta",'Mapa final'!$AD$148="Moderado"),CONCATENATE("R49C",'Mapa final'!$R$148),"")</f>
        <v/>
      </c>
      <c r="Q54" s="44" t="str">
        <f>IF(AND('Mapa final'!$AB$149="Muy Alta",'Mapa final'!$AD$149="Moderado"),CONCATENATE("R49C",'Mapa final'!$R$149),"")</f>
        <v/>
      </c>
      <c r="R54" s="120" t="str">
        <f>IF(AND('Mapa final'!$AB$150="Muy Alta",'Mapa final'!$AD$150="Moderado"),CONCATENATE("R49C",'Mapa final'!$R$150),"")</f>
        <v/>
      </c>
      <c r="S54" s="119" t="str">
        <f>IF(AND('Mapa final'!$AB$148="Muy Alta",'Mapa final'!$AD$148="Mayor"),CONCATENATE("R49C",'Mapa final'!$R$148),"")</f>
        <v/>
      </c>
      <c r="T54" s="44" t="str">
        <f>IF(AND('Mapa final'!$AB$149="Muy Alta",'Mapa final'!$AD$149="Mayor"),CONCATENATE("R49C",'Mapa final'!$R$149),"")</f>
        <v/>
      </c>
      <c r="U54" s="120" t="str">
        <f>IF(AND('Mapa final'!$AB$150="Muy Alta",'Mapa final'!$AD$150="Mayor"),CONCATENATE("R49C",'Mapa final'!$R$150),"")</f>
        <v/>
      </c>
      <c r="V54" s="45" t="str">
        <f>IF(AND('Mapa final'!$AB$148="Muy Alta",'Mapa final'!$AD$148="Catastrófico"),CONCATENATE("R49C",'Mapa final'!$R$148),"")</f>
        <v/>
      </c>
      <c r="W54" s="46" t="str">
        <f>IF(AND('Mapa final'!$AB$149="Muy Alta",'Mapa final'!$AD$149="Catastrófico"),CONCATENATE("R49C",'Mapa final'!$R$149),"")</f>
        <v/>
      </c>
      <c r="X54" s="114" t="str">
        <f>IF(AND('Mapa final'!$AB$150="Muy Alta",'Mapa final'!$AD$150="Catastrófico"),CONCATENATE("R49C",'Mapa final'!$R$150),"")</f>
        <v/>
      </c>
      <c r="Y54" s="58"/>
      <c r="Z54" s="378"/>
      <c r="AA54" s="379"/>
      <c r="AB54" s="379"/>
      <c r="AC54" s="379"/>
      <c r="AD54" s="379"/>
      <c r="AE54" s="380"/>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row>
    <row r="55" spans="1:61" ht="15.75" customHeight="1" thickBot="1" x14ac:dyDescent="0.3">
      <c r="A55" s="58"/>
      <c r="B55" s="356"/>
      <c r="C55" s="356"/>
      <c r="D55" s="357"/>
      <c r="E55" s="373"/>
      <c r="F55" s="374"/>
      <c r="G55" s="374"/>
      <c r="H55" s="374"/>
      <c r="I55" s="374"/>
      <c r="J55" s="121" t="str">
        <f>IF(AND('Mapa final'!$AB$151="Muy Alta",'Mapa final'!$AD$151="Leve"),CONCATENATE("R50C",'Mapa final'!$R$151),"")</f>
        <v/>
      </c>
      <c r="K55" s="122" t="str">
        <f>IF(AND('Mapa final'!$AB$152="Muy Alta",'Mapa final'!$AD$152="Leve"),CONCATENATE("R50C",'Mapa final'!$R$152),"")</f>
        <v/>
      </c>
      <c r="L55" s="123" t="str">
        <f>IF(AND('Mapa final'!$AB$153="Muy Alta",'Mapa final'!$AD$153="Leve"),CONCATENATE("R50C",'Mapa final'!$R$153),"")</f>
        <v/>
      </c>
      <c r="M55" s="121" t="str">
        <f>IF(AND('Mapa final'!$AB$151="Muy Alta",'Mapa final'!$AD$151="Menor"),CONCATENATE("R50C",'Mapa final'!$R$151),"")</f>
        <v/>
      </c>
      <c r="N55" s="122" t="str">
        <f>IF(AND('Mapa final'!$AB$152="Muy Alta",'Mapa final'!$AD$152="Menor"),CONCATENATE("R50C",'Mapa final'!$R$152),"")</f>
        <v/>
      </c>
      <c r="O55" s="122" t="str">
        <f>IF(AND('Mapa final'!$AB$153="Muy Alta",'Mapa final'!$AD$153="Menor"),CONCATENATE("R50C",'Mapa final'!$R$153),"")</f>
        <v/>
      </c>
      <c r="P55" s="121" t="str">
        <f>IF(AND('Mapa final'!$AB$151="Muy Alta",'Mapa final'!$AD$151="Moderado"),CONCATENATE("R50C",'Mapa final'!$R$151),"")</f>
        <v/>
      </c>
      <c r="Q55" s="122" t="str">
        <f>IF(AND('Mapa final'!$AB$152="Muy Alta",'Mapa final'!$AD$152="Moderado"),CONCATENATE("R50C",'Mapa final'!$R$152),"")</f>
        <v/>
      </c>
      <c r="R55" s="123" t="str">
        <f>IF(AND('Mapa final'!$AB$153="Muy Alta",'Mapa final'!$AD$153="Moderado"),CONCATENATE("R50C",'Mapa final'!$R$153),"")</f>
        <v/>
      </c>
      <c r="S55" s="121" t="str">
        <f>IF(AND('Mapa final'!$AB$151="Muy Alta",'Mapa final'!$AD$151="Mayor"),CONCATENATE("R50C",'Mapa final'!$R$151),"")</f>
        <v/>
      </c>
      <c r="T55" s="122" t="str">
        <f>IF(AND('Mapa final'!$AB$152="Muy Alta",'Mapa final'!$AD$152="Mayor"),CONCATENATE("R50C",'Mapa final'!$R$152),"")</f>
        <v/>
      </c>
      <c r="U55" s="123" t="str">
        <f>IF(AND('Mapa final'!$AB$153="Muy Alta",'Mapa final'!$AD$153="Mayor"),CONCATENATE("R50C",'Mapa final'!$R$153),"")</f>
        <v/>
      </c>
      <c r="V55" s="47" t="str">
        <f>IF(AND('Mapa final'!$AB$151="Muy Alta",'Mapa final'!$AD$151="Catastrófico"),CONCATENATE("R50C",'Mapa final'!$R$151),"")</f>
        <v/>
      </c>
      <c r="W55" s="48" t="str">
        <f>IF(AND('Mapa final'!$AB$152="Muy Alta",'Mapa final'!$AD$152="Catastrófico"),CONCATENATE("R50C",'Mapa final'!$R$152),"")</f>
        <v/>
      </c>
      <c r="X55" s="115" t="str">
        <f>IF(AND('Mapa final'!$AB$153="Muy Alta",'Mapa final'!$AD$153="Catastrófico"),CONCATENATE("R50C",'Mapa final'!$R$153),"")</f>
        <v/>
      </c>
      <c r="Y55" s="58"/>
      <c r="Z55" s="381"/>
      <c r="AA55" s="382"/>
      <c r="AB55" s="382"/>
      <c r="AC55" s="382"/>
      <c r="AD55" s="382"/>
      <c r="AE55" s="383"/>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row>
    <row r="56" spans="1:61" ht="15" customHeight="1" x14ac:dyDescent="0.25">
      <c r="A56" s="58"/>
      <c r="B56" s="356"/>
      <c r="C56" s="356"/>
      <c r="D56" s="357"/>
      <c r="E56" s="367" t="s">
        <v>109</v>
      </c>
      <c r="F56" s="368"/>
      <c r="G56" s="368"/>
      <c r="H56" s="368"/>
      <c r="I56" s="368"/>
      <c r="J56" s="49" t="str">
        <f>IF(AND('Mapa final'!$AB$7="Alta",'Mapa final'!$AD$7="Leve"),CONCATENATE("R1C",'Mapa final'!$R$7),"")</f>
        <v/>
      </c>
      <c r="K56" s="50" t="str">
        <f>IF(AND('Mapa final'!$AB$8="Alta",'Mapa final'!$AD$8="Leve"),CONCATENATE("R1C",'Mapa final'!$R$8),"")</f>
        <v/>
      </c>
      <c r="L56" s="124" t="str">
        <f>IF(AND('Mapa final'!$AB$9="Alta",'Mapa final'!$AD$9="Leve"),CONCATENATE("R1C",'Mapa final'!$R$9),"")</f>
        <v/>
      </c>
      <c r="M56" s="51" t="str">
        <f>IF(AND('Mapa final'!$AB$7="Alta",'Mapa final'!$AD$7="Menor"),CONCATENATE("R1C",'Mapa final'!$R$7),"")</f>
        <v/>
      </c>
      <c r="N56" s="52" t="str">
        <f>IF(AND('Mapa final'!$AB$8="Alta",'Mapa final'!$AD$8="Menor"),CONCATENATE("R1C",'Mapa final'!$R$8),"")</f>
        <v/>
      </c>
      <c r="O56" s="52" t="str">
        <f>IF(AND('Mapa final'!$AB$9="Alta",'Mapa final'!$AD$9="Menor"),CONCATENATE("R1C",'Mapa final'!$R$9),"")</f>
        <v/>
      </c>
      <c r="P56" s="116" t="str">
        <f>IF(AND('Mapa final'!$AB$7="Alta",'Mapa final'!$AD$7="Moderado"),CONCATENATE("R1C",'Mapa final'!$R$7),"")</f>
        <v/>
      </c>
      <c r="Q56" s="117" t="str">
        <f>IF(AND('Mapa final'!$AB$8="Alta",'Mapa final'!$AD$8="Moderado"),CONCATENATE("R1C",'Mapa final'!$R$8),"")</f>
        <v/>
      </c>
      <c r="R56" s="118" t="str">
        <f>IF(AND('Mapa final'!$AB$9="Alta",'Mapa final'!$AD$9="Moderado"),CONCATENATE("R1C",'Mapa final'!$R$9),"")</f>
        <v/>
      </c>
      <c r="S56" s="116" t="str">
        <f>IF(AND('Mapa final'!$AB$7="Alta",'Mapa final'!$AD$7="Mayor"),CONCATENATE("R1C",'Mapa final'!$R$7),"")</f>
        <v/>
      </c>
      <c r="T56" s="117" t="str">
        <f>IF(AND('Mapa final'!$AB$8="Alta",'Mapa final'!$AD$8="Mayor"),CONCATENATE("R1C",'Mapa final'!$R$8),"")</f>
        <v/>
      </c>
      <c r="U56" s="118" t="str">
        <f>IF(AND('Mapa final'!$AB$9="Alta",'Mapa final'!$AD$9="Mayor"),CONCATENATE("R1C",'Mapa final'!$R$9),"")</f>
        <v/>
      </c>
      <c r="V56" s="42" t="str">
        <f>IF(AND('Mapa final'!$AB$7="Alta",'Mapa final'!$AD$7="Catastrófico"),CONCATENATE("R1C",'Mapa final'!$R$7),"")</f>
        <v/>
      </c>
      <c r="W56" s="43" t="str">
        <f>IF(AND('Mapa final'!$AB$8="Alta",'Mapa final'!$AD$8="Catastrófico"),CONCATENATE("R1C",'Mapa final'!$R$8),"")</f>
        <v/>
      </c>
      <c r="X56" s="113" t="str">
        <f>IF(AND('Mapa final'!$AB$9="Alta",'Mapa final'!$AD$9="Catastrófico"),CONCATENATE("R1C",'Mapa final'!$R$9),"")</f>
        <v/>
      </c>
      <c r="Y56" s="58"/>
      <c r="Z56" s="358" t="s">
        <v>74</v>
      </c>
      <c r="AA56" s="359"/>
      <c r="AB56" s="359"/>
      <c r="AC56" s="359"/>
      <c r="AD56" s="359"/>
      <c r="AE56" s="360"/>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row>
    <row r="57" spans="1:61" ht="15" customHeight="1" x14ac:dyDescent="0.25">
      <c r="A57" s="58"/>
      <c r="B57" s="356"/>
      <c r="C57" s="356"/>
      <c r="D57" s="357"/>
      <c r="E57" s="369"/>
      <c r="F57" s="370"/>
      <c r="G57" s="370"/>
      <c r="H57" s="370"/>
      <c r="I57" s="370"/>
      <c r="J57" s="51" t="str">
        <f>IF(AND('Mapa final'!$AB$10="Alta",'Mapa final'!$AD$10="Leve"),CONCATENATE("R2C",'Mapa final'!$R$10),"")</f>
        <v/>
      </c>
      <c r="K57" s="52" t="str">
        <f>IF(AND('Mapa final'!$AB$11="Alta",'Mapa final'!$AD$11="Leve"),CONCATENATE("R2C",'Mapa final'!$R$11),"")</f>
        <v/>
      </c>
      <c r="L57" s="125" t="str">
        <f>IF(AND('Mapa final'!$AB$12="Alta",'Mapa final'!$AD$12="Leve"),CONCATENATE("R2C",'Mapa final'!$R$12),"")</f>
        <v/>
      </c>
      <c r="M57" s="51" t="str">
        <f>IF(AND('Mapa final'!$AB$10="Alta",'Mapa final'!$AD$10="Menor"),CONCATENATE("R2C",'Mapa final'!$R$10),"")</f>
        <v/>
      </c>
      <c r="N57" s="52" t="str">
        <f>IF(AND('Mapa final'!$AB$11="Alta",'Mapa final'!$AD$11="Menor"),CONCATENATE("R2C",'Mapa final'!$R$11),"")</f>
        <v/>
      </c>
      <c r="O57" s="52" t="str">
        <f>IF(AND('Mapa final'!$AB$12="Alta",'Mapa final'!$AD$12="Menor"),CONCATENATE("R2C",'Mapa final'!$R$12),"")</f>
        <v/>
      </c>
      <c r="P57" s="119" t="str">
        <f>IF(AND('Mapa final'!$AB$10="Alta",'Mapa final'!$AD$10="Moderado"),CONCATENATE("R2C",'Mapa final'!$R$10),"")</f>
        <v/>
      </c>
      <c r="Q57" s="44" t="str">
        <f>IF(AND('Mapa final'!$AB$11="Alta",'Mapa final'!$AD$11="Moderado"),CONCATENATE("R2C",'Mapa final'!$R$11),"")</f>
        <v/>
      </c>
      <c r="R57" s="120" t="str">
        <f>IF(AND('Mapa final'!$AB$12="Alta",'Mapa final'!$AD$12="Moderado"),CONCATENATE("R2C",'Mapa final'!$R$12),"")</f>
        <v/>
      </c>
      <c r="S57" s="119" t="str">
        <f>IF(AND('Mapa final'!$AB$10="Alta",'Mapa final'!$AD$10="Mayor"),CONCATENATE("R2C",'Mapa final'!$R$10),"")</f>
        <v/>
      </c>
      <c r="T57" s="44" t="str">
        <f>IF(AND('Mapa final'!$AB$11="Alta",'Mapa final'!$AD$11="Mayor"),CONCATENATE("R2C",'Mapa final'!$R$11),"")</f>
        <v/>
      </c>
      <c r="U57" s="120" t="str">
        <f>IF(AND('Mapa final'!$AB$12="Alta",'Mapa final'!$AD$12="Mayor"),CONCATENATE("R2C",'Mapa final'!$R$12),"")</f>
        <v/>
      </c>
      <c r="V57" s="45" t="str">
        <f>IF(AND('Mapa final'!$AB$10="Alta",'Mapa final'!$AD$10="Catastrófico"),CONCATENATE("R2C",'Mapa final'!$R$10),"")</f>
        <v/>
      </c>
      <c r="W57" s="46" t="str">
        <f>IF(AND('Mapa final'!$AB$11="Alta",'Mapa final'!$AD$11="Catastrófico"),CONCATENATE("R2C",'Mapa final'!$R$11),"")</f>
        <v/>
      </c>
      <c r="X57" s="114" t="str">
        <f>IF(AND('Mapa final'!$AB$12="Alta",'Mapa final'!$AD$12="Catastrófico"),CONCATENATE("R2C",'Mapa final'!$R$12),"")</f>
        <v/>
      </c>
      <c r="Y57" s="58"/>
      <c r="Z57" s="361"/>
      <c r="AA57" s="362"/>
      <c r="AB57" s="362"/>
      <c r="AC57" s="362"/>
      <c r="AD57" s="362"/>
      <c r="AE57" s="363"/>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row>
    <row r="58" spans="1:61" ht="15" customHeight="1" x14ac:dyDescent="0.25">
      <c r="A58" s="58"/>
      <c r="B58" s="356"/>
      <c r="C58" s="356"/>
      <c r="D58" s="357"/>
      <c r="E58" s="371"/>
      <c r="F58" s="372"/>
      <c r="G58" s="372"/>
      <c r="H58" s="372"/>
      <c r="I58" s="370"/>
      <c r="J58" s="51" t="str">
        <f>IF(AND('Mapa final'!$AB$13="Alta",'Mapa final'!$AD$13="Leve"),CONCATENATE("R3C",'Mapa final'!$R$13),"")</f>
        <v/>
      </c>
      <c r="K58" s="52" t="str">
        <f>IF(AND('Mapa final'!$AB$14="Alta",'Mapa final'!$AD$14="Leve"),CONCATENATE("R3C",'Mapa final'!$R$14),"")</f>
        <v/>
      </c>
      <c r="L58" s="125" t="str">
        <f>IF(AND('Mapa final'!$AB$15="Alta",'Mapa final'!$AD$15="Leve"),CONCATENATE("R3C",'Mapa final'!$R$15),"")</f>
        <v/>
      </c>
      <c r="M58" s="51" t="str">
        <f>IF(AND('Mapa final'!$AB$13="Alta",'Mapa final'!$AD$13="Menor"),CONCATENATE("R3C",'Mapa final'!$R$13),"")</f>
        <v/>
      </c>
      <c r="N58" s="52" t="str">
        <f>IF(AND('Mapa final'!$AB$14="Alta",'Mapa final'!$AD$14="Menor"),CONCATENATE("R3C",'Mapa final'!$R$14),"")</f>
        <v/>
      </c>
      <c r="O58" s="52" t="str">
        <f>IF(AND('Mapa final'!$AB$15="Alta",'Mapa final'!$AD$15="Menor"),CONCATENATE("R3C",'Mapa final'!$R$15),"")</f>
        <v/>
      </c>
      <c r="P58" s="119" t="str">
        <f>IF(AND('Mapa final'!$AB$13="Alta",'Mapa final'!$AD$13="Moderado"),CONCATENATE("R3C",'Mapa final'!$R$13),"")</f>
        <v/>
      </c>
      <c r="Q58" s="44" t="str">
        <f>IF(AND('Mapa final'!$AB$14="Alta",'Mapa final'!$AD$14="Moderado"),CONCATENATE("R3C",'Mapa final'!$R$14),"")</f>
        <v/>
      </c>
      <c r="R58" s="120" t="str">
        <f>IF(AND('Mapa final'!$AB$15="Alta",'Mapa final'!$AD$15="Moderado"),CONCATENATE("R3C",'Mapa final'!$R$15),"")</f>
        <v/>
      </c>
      <c r="S58" s="119" t="str">
        <f>IF(AND('Mapa final'!$AB$13="Alta",'Mapa final'!$AD$13="Mayor"),CONCATENATE("R3C",'Mapa final'!$R$13),"")</f>
        <v/>
      </c>
      <c r="T58" s="44" t="str">
        <f>IF(AND('Mapa final'!$AB$14="Alta",'Mapa final'!$AD$14="Mayor"),CONCATENATE("R3C",'Mapa final'!$R$14),"")</f>
        <v/>
      </c>
      <c r="U58" s="120" t="str">
        <f>IF(AND('Mapa final'!$AB$15="Alta",'Mapa final'!$AD$15="Mayor"),CONCATENATE("R3C",'Mapa final'!$R$15),"")</f>
        <v/>
      </c>
      <c r="V58" s="45" t="str">
        <f>IF(AND('Mapa final'!$AB$13="Alta",'Mapa final'!$AD$13="Catastrófico"),CONCATENATE("R3C",'Mapa final'!$R$13),"")</f>
        <v/>
      </c>
      <c r="W58" s="46" t="str">
        <f>IF(AND('Mapa final'!$AB$14="Alta",'Mapa final'!$AD$14="Catastrófico"),CONCATENATE("R3C",'Mapa final'!$R$14),"")</f>
        <v/>
      </c>
      <c r="X58" s="114" t="str">
        <f>IF(AND('Mapa final'!$AB$15="Alta",'Mapa final'!$AD$15="Catastrófico"),CONCATENATE("R3C",'Mapa final'!$R$15),"")</f>
        <v/>
      </c>
      <c r="Y58" s="58"/>
      <c r="Z58" s="361"/>
      <c r="AA58" s="362"/>
      <c r="AB58" s="362"/>
      <c r="AC58" s="362"/>
      <c r="AD58" s="362"/>
      <c r="AE58" s="363"/>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row>
    <row r="59" spans="1:61" ht="15" customHeight="1" x14ac:dyDescent="0.25">
      <c r="A59" s="58"/>
      <c r="B59" s="356"/>
      <c r="C59" s="356"/>
      <c r="D59" s="357"/>
      <c r="E59" s="371"/>
      <c r="F59" s="372"/>
      <c r="G59" s="372"/>
      <c r="H59" s="372"/>
      <c r="I59" s="370"/>
      <c r="J59" s="51" t="str">
        <f>IF(AND('Mapa final'!$AB$16="Alta",'Mapa final'!$AD$16="Leve"),CONCATENATE("R4C",'Mapa final'!$R$16),"")</f>
        <v/>
      </c>
      <c r="K59" s="52" t="str">
        <f>IF(AND('Mapa final'!$AB$17="Alta",'Mapa final'!$AD$17="Leve"),CONCATENATE("R4C",'Mapa final'!$R$17),"")</f>
        <v/>
      </c>
      <c r="L59" s="125" t="str">
        <f>IF(AND('Mapa final'!$AB$18="Alta",'Mapa final'!$AD$18="Leve"),CONCATENATE("R4C",'Mapa final'!$R$18),"")</f>
        <v/>
      </c>
      <c r="M59" s="51" t="str">
        <f>IF(AND('Mapa final'!$AB$16="Alta",'Mapa final'!$AD$16="Menor"),CONCATENATE("R4C",'Mapa final'!$R$16),"")</f>
        <v/>
      </c>
      <c r="N59" s="52" t="str">
        <f>IF(AND('Mapa final'!$AB$17="Alta",'Mapa final'!$AD$17="Menor"),CONCATENATE("R4C",'Mapa final'!$R$17),"")</f>
        <v/>
      </c>
      <c r="O59" s="52" t="str">
        <f>IF(AND('Mapa final'!$AB$18="Alta",'Mapa final'!$AD$18="Menor"),CONCATENATE("R4C",'Mapa final'!$R$18),"")</f>
        <v/>
      </c>
      <c r="P59" s="119" t="str">
        <f>IF(AND('Mapa final'!$AB$16="Alta",'Mapa final'!$AD$16="Moderado"),CONCATENATE("R4C",'Mapa final'!$R$16),"")</f>
        <v/>
      </c>
      <c r="Q59" s="44" t="str">
        <f>IF(AND('Mapa final'!$AB$17="Alta",'Mapa final'!$AD$17="Moderado"),CONCATENATE("R4C",'Mapa final'!$R$17),"")</f>
        <v/>
      </c>
      <c r="R59" s="120" t="str">
        <f>IF(AND('Mapa final'!$AB$18="Alta",'Mapa final'!$AD$18="Moderado"),CONCATENATE("R4C",'Mapa final'!$R$18),"")</f>
        <v/>
      </c>
      <c r="S59" s="119" t="str">
        <f>IF(AND('Mapa final'!$AB$16="Alta",'Mapa final'!$AD$16="Mayor"),CONCATENATE("R4C",'Mapa final'!$R$16),"")</f>
        <v/>
      </c>
      <c r="T59" s="44" t="str">
        <f>IF(AND('Mapa final'!$AB$17="Alta",'Mapa final'!$AD$17="Mayor"),CONCATENATE("R4C",'Mapa final'!$R$17),"")</f>
        <v/>
      </c>
      <c r="U59" s="120" t="str">
        <f>IF(AND('Mapa final'!$AB$18="Alta",'Mapa final'!$AD$18="Mayor"),CONCATENATE("R4C",'Mapa final'!$R$18),"")</f>
        <v/>
      </c>
      <c r="V59" s="45" t="str">
        <f>IF(AND('Mapa final'!$AB$16="Alta",'Mapa final'!$AD$16="Catastrófico"),CONCATENATE("R4C",'Mapa final'!$R$16),"")</f>
        <v/>
      </c>
      <c r="W59" s="46" t="str">
        <f>IF(AND('Mapa final'!$AB$17="Alta",'Mapa final'!$AD$17="Catastrófico"),CONCATENATE("R4C",'Mapa final'!$R$17),"")</f>
        <v/>
      </c>
      <c r="X59" s="114" t="str">
        <f>IF(AND('Mapa final'!$AB$18="Alta",'Mapa final'!$AD$18="Catastrófico"),CONCATENATE("R4C",'Mapa final'!$R$18),"")</f>
        <v/>
      </c>
      <c r="Y59" s="58"/>
      <c r="Z59" s="361"/>
      <c r="AA59" s="362"/>
      <c r="AB59" s="362"/>
      <c r="AC59" s="362"/>
      <c r="AD59" s="362"/>
      <c r="AE59" s="363"/>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row>
    <row r="60" spans="1:61" ht="12" customHeight="1" x14ac:dyDescent="0.25">
      <c r="A60" s="58"/>
      <c r="B60" s="356"/>
      <c r="C60" s="356"/>
      <c r="D60" s="357"/>
      <c r="E60" s="371"/>
      <c r="F60" s="372"/>
      <c r="G60" s="372"/>
      <c r="H60" s="372"/>
      <c r="I60" s="370"/>
      <c r="J60" s="51" t="str">
        <f>IF(AND('Mapa final'!$AB$19="Alta",'Mapa final'!$AD$19="Leve"),CONCATENATE("R5C",'Mapa final'!$R$19),"")</f>
        <v/>
      </c>
      <c r="K60" s="52" t="str">
        <f>IF(AND('Mapa final'!$AB$20="Alta",'Mapa final'!$AD$20="Leve"),CONCATENATE("R5C",'Mapa final'!$R$20),"")</f>
        <v/>
      </c>
      <c r="L60" s="125" t="str">
        <f>IF(AND('Mapa final'!$AB$21="Alta",'Mapa final'!$AD$21="Leve"),CONCATENATE("R5C",'Mapa final'!$R$21),"")</f>
        <v/>
      </c>
      <c r="M60" s="51" t="str">
        <f>IF(AND('Mapa final'!$AB$19="Alta",'Mapa final'!$AD$19="Menor"),CONCATENATE("R5C",'Mapa final'!$R$19),"")</f>
        <v/>
      </c>
      <c r="N60" s="52" t="str">
        <f>IF(AND('Mapa final'!$AB$20="Alta",'Mapa final'!$AD$20="Menor"),CONCATENATE("R5C",'Mapa final'!$R$20),"")</f>
        <v/>
      </c>
      <c r="O60" s="52" t="str">
        <f>IF(AND('Mapa final'!$AB$21="Alta",'Mapa final'!$AD$21="Menor"),CONCATENATE("R5C",'Mapa final'!$R$21),"")</f>
        <v/>
      </c>
      <c r="P60" s="119" t="str">
        <f>IF(AND('Mapa final'!$AB$19="Alta",'Mapa final'!$AD$19="Moderado"),CONCATENATE("R5C",'Mapa final'!$R$19),"")</f>
        <v/>
      </c>
      <c r="Q60" s="44" t="str">
        <f>IF(AND('Mapa final'!$AB$20="Alta",'Mapa final'!$AD$20="Moderado"),CONCATENATE("R5C",'Mapa final'!$R$20),"")</f>
        <v/>
      </c>
      <c r="R60" s="120" t="str">
        <f>IF(AND('Mapa final'!$AB$21="Alta",'Mapa final'!$AD$21="Moderado"),CONCATENATE("R5C",'Mapa final'!$R$21),"")</f>
        <v/>
      </c>
      <c r="S60" s="119" t="str">
        <f>IF(AND('Mapa final'!$AB$19="Alta",'Mapa final'!$AD$19="Mayor"),CONCATENATE("R5C",'Mapa final'!$R$19),"")</f>
        <v/>
      </c>
      <c r="T60" s="44" t="str">
        <f>IF(AND('Mapa final'!$AB$20="Alta",'Mapa final'!$AD$20="Mayor"),CONCATENATE("R5C",'Mapa final'!$R$20),"")</f>
        <v/>
      </c>
      <c r="U60" s="120" t="str">
        <f>IF(AND('Mapa final'!$AB$21="Alta",'Mapa final'!$AD$21="Mayor"),CONCATENATE("R5C",'Mapa final'!$R$21),"")</f>
        <v/>
      </c>
      <c r="V60" s="45" t="str">
        <f>IF(AND('Mapa final'!$AB$19="Alta",'Mapa final'!$AD$19="Catastrófico"),CONCATENATE("R5C",'Mapa final'!$R$19),"")</f>
        <v/>
      </c>
      <c r="W60" s="46" t="str">
        <f>IF(AND('Mapa final'!$AB$20="Alta",'Mapa final'!$AD$20="Catastrófico"),CONCATENATE("R5C",'Mapa final'!$R$20),"")</f>
        <v/>
      </c>
      <c r="X60" s="114" t="str">
        <f>IF(AND('Mapa final'!$AB$21="Alta",'Mapa final'!$AD$21="Catastrófico"),CONCATENATE("R5C",'Mapa final'!$R$21),"")</f>
        <v/>
      </c>
      <c r="Y60" s="58"/>
      <c r="Z60" s="361"/>
      <c r="AA60" s="362"/>
      <c r="AB60" s="362"/>
      <c r="AC60" s="362"/>
      <c r="AD60" s="362"/>
      <c r="AE60" s="363"/>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row>
    <row r="61" spans="1:61" ht="12" customHeight="1" x14ac:dyDescent="0.25">
      <c r="A61" s="58"/>
      <c r="B61" s="356"/>
      <c r="C61" s="356"/>
      <c r="D61" s="357"/>
      <c r="E61" s="371"/>
      <c r="F61" s="372"/>
      <c r="G61" s="372"/>
      <c r="H61" s="372"/>
      <c r="I61" s="370"/>
      <c r="J61" s="51" t="str">
        <f>IF(AND('Mapa final'!$AB$22="Alta",'Mapa final'!$AD$22="Leve"),CONCATENATE("R6C",'Mapa final'!$R$22),"")</f>
        <v/>
      </c>
      <c r="K61" s="52" t="str">
        <f>IF(AND('Mapa final'!$AB$23="Alta",'Mapa final'!$AD$23="Leve"),CONCATENATE("R6C",'Mapa final'!$R$23),"")</f>
        <v/>
      </c>
      <c r="L61" s="125" t="str">
        <f>IF(AND('Mapa final'!$AB$24="Alta",'Mapa final'!$AD$24="Leve"),CONCATENATE("R6C",'Mapa final'!$R$24),"")</f>
        <v/>
      </c>
      <c r="M61" s="51" t="str">
        <f>IF(AND('Mapa final'!$AB$22="Alta",'Mapa final'!$AD$22="Menor"),CONCATENATE("R6C",'Mapa final'!$R$22),"")</f>
        <v/>
      </c>
      <c r="N61" s="52" t="str">
        <f>IF(AND('Mapa final'!$AB$23="Alta",'Mapa final'!$AD$23="Menor"),CONCATENATE("R6C",'Mapa final'!$R$23),"")</f>
        <v/>
      </c>
      <c r="O61" s="52" t="str">
        <f>IF(AND('Mapa final'!$AB$24="Alta",'Mapa final'!$AD$24="Menor"),CONCATENATE("R6C",'Mapa final'!$R$24),"")</f>
        <v/>
      </c>
      <c r="P61" s="119" t="str">
        <f>IF(AND('Mapa final'!$AB$22="Alta",'Mapa final'!$AD$22="Moderado"),CONCATENATE("R6C",'Mapa final'!$R$22),"")</f>
        <v/>
      </c>
      <c r="Q61" s="44" t="str">
        <f>IF(AND('Mapa final'!$AB$23="Alta",'Mapa final'!$AD$23="Moderado"),CONCATENATE("R6C",'Mapa final'!$R$23),"")</f>
        <v/>
      </c>
      <c r="R61" s="120" t="str">
        <f>IF(AND('Mapa final'!$AB$24="Alta",'Mapa final'!$AD$24="Moderado"),CONCATENATE("R6C",'Mapa final'!$R$24),"")</f>
        <v/>
      </c>
      <c r="S61" s="119" t="str">
        <f>IF(AND('Mapa final'!$AB$22="Alta",'Mapa final'!$AD$22="Mayor"),CONCATENATE("R6C",'Mapa final'!$R$22),"")</f>
        <v/>
      </c>
      <c r="T61" s="44" t="str">
        <f>IF(AND('Mapa final'!$AB$23="Alta",'Mapa final'!$AD$23="Mayor"),CONCATENATE("R6C",'Mapa final'!$R$23),"")</f>
        <v/>
      </c>
      <c r="U61" s="120" t="str">
        <f>IF(AND('Mapa final'!$AB$24="Alta",'Mapa final'!$AD$24="Mayor"),CONCATENATE("R6C",'Mapa final'!$R$24),"")</f>
        <v/>
      </c>
      <c r="V61" s="45" t="str">
        <f>IF(AND('Mapa final'!$AB$22="Alta",'Mapa final'!$AD$22="Catastrófico"),CONCATENATE("R6C",'Mapa final'!$R$22),"")</f>
        <v/>
      </c>
      <c r="W61" s="46" t="str">
        <f>IF(AND('Mapa final'!$AB$23="Alta",'Mapa final'!$AD$23="Catastrófico"),CONCATENATE("R6C",'Mapa final'!$R$23),"")</f>
        <v/>
      </c>
      <c r="X61" s="114" t="str">
        <f>IF(AND('Mapa final'!$AB$24="Alta",'Mapa final'!$AD$24="Catastrófico"),CONCATENATE("R6C",'Mapa final'!$R$24),"")</f>
        <v/>
      </c>
      <c r="Y61" s="58"/>
      <c r="Z61" s="361"/>
      <c r="AA61" s="362"/>
      <c r="AB61" s="362"/>
      <c r="AC61" s="362"/>
      <c r="AD61" s="362"/>
      <c r="AE61" s="363"/>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row>
    <row r="62" spans="1:61" ht="12" customHeight="1" x14ac:dyDescent="0.25">
      <c r="A62" s="58"/>
      <c r="B62" s="356"/>
      <c r="C62" s="356"/>
      <c r="D62" s="357"/>
      <c r="E62" s="371"/>
      <c r="F62" s="372"/>
      <c r="G62" s="372"/>
      <c r="H62" s="372"/>
      <c r="I62" s="370"/>
      <c r="J62" s="51" t="str">
        <f>IF(AND('Mapa final'!$AB$25="Alta",'Mapa final'!$AD$25="Leve"),CONCATENATE("R7C",'Mapa final'!$R$25),"")</f>
        <v/>
      </c>
      <c r="K62" s="52" t="str">
        <f>IF(AND('Mapa final'!$AB$26="Alta",'Mapa final'!$AD$26="Leve"),CONCATENATE("R7C",'Mapa final'!$R$26),"")</f>
        <v/>
      </c>
      <c r="L62" s="125" t="str">
        <f>IF(AND('Mapa final'!$AB$27="Alta",'Mapa final'!$AD$27="Leve"),CONCATENATE("R7C",'Mapa final'!$R$27),"")</f>
        <v/>
      </c>
      <c r="M62" s="51" t="str">
        <f>IF(AND('Mapa final'!$AB$25="Alta",'Mapa final'!$AD$25="Menor"),CONCATENATE("R7C",'Mapa final'!$R$25),"")</f>
        <v/>
      </c>
      <c r="N62" s="52" t="str">
        <f>IF(AND('Mapa final'!$AB$26="Alta",'Mapa final'!$AD$26="Menor"),CONCATENATE("R7C",'Mapa final'!$R$26),"")</f>
        <v/>
      </c>
      <c r="O62" s="52" t="str">
        <f>IF(AND('Mapa final'!$AB$27="Alta",'Mapa final'!$AD$27="Menor"),CONCATENATE("R7C",'Mapa final'!$R$27),"")</f>
        <v/>
      </c>
      <c r="P62" s="119" t="str">
        <f>IF(AND('Mapa final'!$AB$25="Alta",'Mapa final'!$AD$25="Moderado"),CONCATENATE("R7C",'Mapa final'!$R$25),"")</f>
        <v/>
      </c>
      <c r="Q62" s="44" t="str">
        <f>IF(AND('Mapa final'!$AB$26="Alta",'Mapa final'!$AD$26="Moderado"),CONCATENATE("R7C",'Mapa final'!$R$26),"")</f>
        <v/>
      </c>
      <c r="R62" s="120" t="str">
        <f>IF(AND('Mapa final'!$AB$27="Alta",'Mapa final'!$AD$27="Moderado"),CONCATENATE("R7C",'Mapa final'!$R$27),"")</f>
        <v/>
      </c>
      <c r="S62" s="119" t="str">
        <f>IF(AND('Mapa final'!$AB$25="Alta",'Mapa final'!$AD$25="Mayor"),CONCATENATE("R7C",'Mapa final'!$R$25),"")</f>
        <v/>
      </c>
      <c r="T62" s="44" t="str">
        <f>IF(AND('Mapa final'!$AB$26="Alta",'Mapa final'!$AD$26="Mayor"),CONCATENATE("R7C",'Mapa final'!$R$26),"")</f>
        <v/>
      </c>
      <c r="U62" s="120" t="str">
        <f>IF(AND('Mapa final'!$AB$27="Alta",'Mapa final'!$AD$27="Mayor"),CONCATENATE("R7C",'Mapa final'!$R$27),"")</f>
        <v/>
      </c>
      <c r="V62" s="45" t="str">
        <f>IF(AND('Mapa final'!$AB$25="Alta",'Mapa final'!$AD$25="Catastrófico"),CONCATENATE("R7C",'Mapa final'!$R$25),"")</f>
        <v/>
      </c>
      <c r="W62" s="46" t="str">
        <f>IF(AND('Mapa final'!$AB$26="Alta",'Mapa final'!$AD$26="Catastrófico"),CONCATENATE("R7C",'Mapa final'!$R$26),"")</f>
        <v/>
      </c>
      <c r="X62" s="114" t="str">
        <f>IF(AND('Mapa final'!$AB$27="Alta",'Mapa final'!$AD$27="Catastrófico"),CONCATENATE("R7C",'Mapa final'!$R$27),"")</f>
        <v/>
      </c>
      <c r="Y62" s="58"/>
      <c r="Z62" s="361"/>
      <c r="AA62" s="362"/>
      <c r="AB62" s="362"/>
      <c r="AC62" s="362"/>
      <c r="AD62" s="362"/>
      <c r="AE62" s="363"/>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row>
    <row r="63" spans="1:61" ht="12" customHeight="1" x14ac:dyDescent="0.25">
      <c r="A63" s="58"/>
      <c r="B63" s="356"/>
      <c r="C63" s="356"/>
      <c r="D63" s="357"/>
      <c r="E63" s="371"/>
      <c r="F63" s="372"/>
      <c r="G63" s="372"/>
      <c r="H63" s="372"/>
      <c r="I63" s="370"/>
      <c r="J63" s="51" t="str">
        <f>IF(AND('Mapa final'!$AB$28="Alta",'Mapa final'!$AD$28="Leve"),CONCATENATE("R8C",'Mapa final'!$R$28),"")</f>
        <v/>
      </c>
      <c r="K63" s="52" t="str">
        <f>IF(AND('Mapa final'!$AB$29="Alta",'Mapa final'!$AD$29="Leve"),CONCATENATE("R8C",'Mapa final'!$R$29),"")</f>
        <v/>
      </c>
      <c r="L63" s="125" t="str">
        <f>IF(AND('Mapa final'!$AB$30="Alta",'Mapa final'!$AD$30="Leve"),CONCATENATE("R8C",'Mapa final'!$R$30),"")</f>
        <v/>
      </c>
      <c r="M63" s="51" t="str">
        <f>IF(AND('Mapa final'!$AB$28="Alta",'Mapa final'!$AD$28="Menor"),CONCATENATE("R8C",'Mapa final'!$R$28),"")</f>
        <v/>
      </c>
      <c r="N63" s="52" t="str">
        <f>IF(AND('Mapa final'!$AB$29="Alta",'Mapa final'!$AD$29="Menor"),CONCATENATE("R8C",'Mapa final'!$R$29),"")</f>
        <v/>
      </c>
      <c r="O63" s="52" t="str">
        <f>IF(AND('Mapa final'!$AB$30="Alta",'Mapa final'!$AD$30="Menor"),CONCATENATE("R8C",'Mapa final'!$R$30),"")</f>
        <v/>
      </c>
      <c r="P63" s="119" t="str">
        <f>IF(AND('Mapa final'!$AB$28="Alta",'Mapa final'!$AD$28="Moderado"),CONCATENATE("R8C",'Mapa final'!$R$28),"")</f>
        <v/>
      </c>
      <c r="Q63" s="44" t="str">
        <f>IF(AND('Mapa final'!$AB$29="Alta",'Mapa final'!$AD$29="Moderado"),CONCATENATE("R8C",'Mapa final'!$R$29),"")</f>
        <v/>
      </c>
      <c r="R63" s="120" t="str">
        <f>IF(AND('Mapa final'!$AB$30="Alta",'Mapa final'!$AD$30="Moderado"),CONCATENATE("R8C",'Mapa final'!$R$30),"")</f>
        <v/>
      </c>
      <c r="S63" s="119" t="str">
        <f>IF(AND('Mapa final'!$AB$28="Alta",'Mapa final'!$AD$28="Mayor"),CONCATENATE("R8C",'Mapa final'!$R$28),"")</f>
        <v/>
      </c>
      <c r="T63" s="44" t="str">
        <f>IF(AND('Mapa final'!$AB$29="Alta",'Mapa final'!$AD$29="Mayor"),CONCATENATE("R8C",'Mapa final'!$R$29),"")</f>
        <v/>
      </c>
      <c r="U63" s="120" t="str">
        <f>IF(AND('Mapa final'!$AB$30="Alta",'Mapa final'!$AD$30="Mayor"),CONCATENATE("R8C",'Mapa final'!$R$30),"")</f>
        <v/>
      </c>
      <c r="V63" s="45" t="str">
        <f>IF(AND('Mapa final'!$AB$28="Alta",'Mapa final'!$AD$28="Catastrófico"),CONCATENATE("R8C",'Mapa final'!$R$28),"")</f>
        <v/>
      </c>
      <c r="W63" s="46" t="str">
        <f>IF(AND('Mapa final'!$AB$29="Alta",'Mapa final'!$AD$29="Catastrófico"),CONCATENATE("R8C",'Mapa final'!$R$29),"")</f>
        <v/>
      </c>
      <c r="X63" s="114" t="str">
        <f>IF(AND('Mapa final'!$AB$30="Alta",'Mapa final'!$AD$30="Catastrófico"),CONCATENATE("R8C",'Mapa final'!$R$30),"")</f>
        <v/>
      </c>
      <c r="Y63" s="58"/>
      <c r="Z63" s="361"/>
      <c r="AA63" s="362"/>
      <c r="AB63" s="362"/>
      <c r="AC63" s="362"/>
      <c r="AD63" s="362"/>
      <c r="AE63" s="363"/>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row>
    <row r="64" spans="1:61" ht="12" customHeight="1" x14ac:dyDescent="0.25">
      <c r="A64" s="58"/>
      <c r="B64" s="356"/>
      <c r="C64" s="356"/>
      <c r="D64" s="357"/>
      <c r="E64" s="371"/>
      <c r="F64" s="372"/>
      <c r="G64" s="372"/>
      <c r="H64" s="372"/>
      <c r="I64" s="370"/>
      <c r="J64" s="51" t="str">
        <f>IF(AND('Mapa final'!$AB$31="Alta",'Mapa final'!$AD$31="Leve"),CONCATENATE("R9C",'Mapa final'!$R$31),"")</f>
        <v/>
      </c>
      <c r="K64" s="52" t="str">
        <f>IF(AND('Mapa final'!$AB$32="Alta",'Mapa final'!$AD$32="Leve"),CONCATENATE("R9C",'Mapa final'!$R$32),"")</f>
        <v/>
      </c>
      <c r="L64" s="125" t="str">
        <f>IF(AND('Mapa final'!$AB$33="Alta",'Mapa final'!$AD$33="Leve"),CONCATENATE("R9C",'Mapa final'!$R$33),"")</f>
        <v/>
      </c>
      <c r="M64" s="51" t="str">
        <f>IF(AND('Mapa final'!$AB$31="Alta",'Mapa final'!$AD$31="Menor"),CONCATENATE("R9C",'Mapa final'!$R$31),"")</f>
        <v/>
      </c>
      <c r="N64" s="52" t="str">
        <f>IF(AND('Mapa final'!$AB$32="Alta",'Mapa final'!$AD$32="Menor"),CONCATENATE("R9C",'Mapa final'!$R$32),"")</f>
        <v/>
      </c>
      <c r="O64" s="52" t="str">
        <f>IF(AND('Mapa final'!$AB$33="Alta",'Mapa final'!$AD$33="Menor"),CONCATENATE("R9C",'Mapa final'!$R$33),"")</f>
        <v/>
      </c>
      <c r="P64" s="119" t="str">
        <f>IF(AND('Mapa final'!$AB$31="Alta",'Mapa final'!$AD$31="Moderado"),CONCATENATE("R9C",'Mapa final'!$R$31),"")</f>
        <v/>
      </c>
      <c r="Q64" s="44" t="str">
        <f>IF(AND('Mapa final'!$AB$32="Alta",'Mapa final'!$AD$32="Moderado"),CONCATENATE("R9C",'Mapa final'!$R$32),"")</f>
        <v/>
      </c>
      <c r="R64" s="120" t="str">
        <f>IF(AND('Mapa final'!$AB$33="Alta",'Mapa final'!$AD$33="Moderado"),CONCATENATE("R9C",'Mapa final'!$R$33),"")</f>
        <v/>
      </c>
      <c r="S64" s="119" t="str">
        <f>IF(AND('Mapa final'!$AB$31="Alta",'Mapa final'!$AD$31="Mayor"),CONCATENATE("R9C",'Mapa final'!$R$31),"")</f>
        <v/>
      </c>
      <c r="T64" s="44" t="str">
        <f>IF(AND('Mapa final'!$AB$32="Alta",'Mapa final'!$AD$32="Mayor"),CONCATENATE("R9C",'Mapa final'!$R$32),"")</f>
        <v/>
      </c>
      <c r="U64" s="120" t="str">
        <f>IF(AND('Mapa final'!$AB$33="Alta",'Mapa final'!$AD$33="Mayor"),CONCATENATE("R9C",'Mapa final'!$R$33),"")</f>
        <v/>
      </c>
      <c r="V64" s="45" t="str">
        <f>IF(AND('Mapa final'!$AB$31="Alta",'Mapa final'!$AD$31="Catastrófico"),CONCATENATE("R9C",'Mapa final'!$R$31),"")</f>
        <v/>
      </c>
      <c r="W64" s="46" t="str">
        <f>IF(AND('Mapa final'!$AB$32="Alta",'Mapa final'!$AD$32="Catastrófico"),CONCATENATE("R9C",'Mapa final'!$R$32),"")</f>
        <v/>
      </c>
      <c r="X64" s="114" t="str">
        <f>IF(AND('Mapa final'!$AB$33="Alta",'Mapa final'!$AD$33="Catastrófico"),CONCATENATE("R9C",'Mapa final'!$R$33),"")</f>
        <v/>
      </c>
      <c r="Y64" s="58"/>
      <c r="Z64" s="361"/>
      <c r="AA64" s="362"/>
      <c r="AB64" s="362"/>
      <c r="AC64" s="362"/>
      <c r="AD64" s="362"/>
      <c r="AE64" s="363"/>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row>
    <row r="65" spans="1:61" ht="12" customHeight="1" x14ac:dyDescent="0.25">
      <c r="A65" s="58"/>
      <c r="B65" s="356"/>
      <c r="C65" s="356"/>
      <c r="D65" s="357"/>
      <c r="E65" s="371"/>
      <c r="F65" s="372"/>
      <c r="G65" s="372"/>
      <c r="H65" s="372"/>
      <c r="I65" s="370"/>
      <c r="J65" s="51" t="str">
        <f>IF(AND('Mapa final'!$AB$34="Alta",'Mapa final'!$AD$34="Leve"),CONCATENATE("R10C",'Mapa final'!$R$34),"")</f>
        <v/>
      </c>
      <c r="K65" s="52" t="str">
        <f>IF(AND('Mapa final'!$AB$35="Alta",'Mapa final'!$AD$35="Leve"),CONCATENATE("R10C",'Mapa final'!$R$35),"")</f>
        <v/>
      </c>
      <c r="L65" s="125" t="str">
        <f>IF(AND('Mapa final'!$AB$36="Alta",'Mapa final'!$AD$36="Leve"),CONCATENATE("R10C",'Mapa final'!$R$36),"")</f>
        <v/>
      </c>
      <c r="M65" s="51" t="str">
        <f>IF(AND('Mapa final'!$AB$34="Alta",'Mapa final'!$AD$34="Menor"),CONCATENATE("R10C",'Mapa final'!$R$34),"")</f>
        <v/>
      </c>
      <c r="N65" s="52" t="str">
        <f>IF(AND('Mapa final'!$AB$35="Alta",'Mapa final'!$AD$35="Menor"),CONCATENATE("R10C",'Mapa final'!$R$35),"")</f>
        <v/>
      </c>
      <c r="O65" s="52" t="str">
        <f>IF(AND('Mapa final'!$AB$36="Alta",'Mapa final'!$AD$36="Menor"),CONCATENATE("R10C",'Mapa final'!$R$36),"")</f>
        <v/>
      </c>
      <c r="P65" s="119" t="str">
        <f>IF(AND('Mapa final'!$AB$34="Alta",'Mapa final'!$AD$34="Moderado"),CONCATENATE("R10C",'Mapa final'!$R$34),"")</f>
        <v/>
      </c>
      <c r="Q65" s="44" t="str">
        <f>IF(AND('Mapa final'!$AB$35="Alta",'Mapa final'!$AD$35="Moderado"),CONCATENATE("R10C",'Mapa final'!$R$35),"")</f>
        <v/>
      </c>
      <c r="R65" s="120" t="str">
        <f>IF(AND('Mapa final'!$AB$36="Alta",'Mapa final'!$AD$36="Moderado"),CONCATENATE("R10C",'Mapa final'!$R$36),"")</f>
        <v/>
      </c>
      <c r="S65" s="119" t="str">
        <f>IF(AND('Mapa final'!$AB$34="Alta",'Mapa final'!$AD$34="Mayor"),CONCATENATE("R10C",'Mapa final'!$R$34),"")</f>
        <v/>
      </c>
      <c r="T65" s="44" t="str">
        <f>IF(AND('Mapa final'!$AB$35="Alta",'Mapa final'!$AD$35="Mayor"),CONCATENATE("R10C",'Mapa final'!$R$35),"")</f>
        <v/>
      </c>
      <c r="U65" s="120" t="str">
        <f>IF(AND('Mapa final'!$AB$36="Alta",'Mapa final'!$AD$36="Mayor"),CONCATENATE("R10C",'Mapa final'!$R$36),"")</f>
        <v/>
      </c>
      <c r="V65" s="45" t="str">
        <f>IF(AND('Mapa final'!$AB$34="Alta",'Mapa final'!$AD$34="Catastrófico"),CONCATENATE("R10C",'Mapa final'!$R$34),"")</f>
        <v/>
      </c>
      <c r="W65" s="46" t="str">
        <f>IF(AND('Mapa final'!$AB$35="Alta",'Mapa final'!$AD$35="Catastrófico"),CONCATENATE("R10C",'Mapa final'!$R$35),"")</f>
        <v/>
      </c>
      <c r="X65" s="114" t="str">
        <f>IF(AND('Mapa final'!$AB$36="Alta",'Mapa final'!$AD$36="Catastrófico"),CONCATENATE("R10C",'Mapa final'!$R$36),"")</f>
        <v/>
      </c>
      <c r="Y65" s="58"/>
      <c r="Z65" s="361"/>
      <c r="AA65" s="362"/>
      <c r="AB65" s="362"/>
      <c r="AC65" s="362"/>
      <c r="AD65" s="362"/>
      <c r="AE65" s="363"/>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row>
    <row r="66" spans="1:61" ht="12" customHeight="1" x14ac:dyDescent="0.25">
      <c r="A66" s="58"/>
      <c r="B66" s="356"/>
      <c r="C66" s="356"/>
      <c r="D66" s="357"/>
      <c r="E66" s="371"/>
      <c r="F66" s="372"/>
      <c r="G66" s="372"/>
      <c r="H66" s="372"/>
      <c r="I66" s="370"/>
      <c r="J66" s="51" t="str">
        <f>IF(AND('Mapa final'!$AB$37="Alta",'Mapa final'!$AD$37="Leve"),CONCATENATE("R11C",'Mapa final'!$R$37),"")</f>
        <v/>
      </c>
      <c r="K66" s="52" t="str">
        <f>IF(AND('Mapa final'!$AB$38="Alta",'Mapa final'!$AD$38="Leve"),CONCATENATE("R11C",'Mapa final'!$R$38),"")</f>
        <v/>
      </c>
      <c r="L66" s="125" t="str">
        <f>IF(AND('Mapa final'!$AB$39="Alta",'Mapa final'!$AD$39="Leve"),CONCATENATE("R11C",'Mapa final'!$R$39),"")</f>
        <v/>
      </c>
      <c r="M66" s="51" t="str">
        <f>IF(AND('Mapa final'!$AB$37="Alta",'Mapa final'!$AD$37="Menor"),CONCATENATE("R11C",'Mapa final'!$R$37),"")</f>
        <v/>
      </c>
      <c r="N66" s="52" t="str">
        <f>IF(AND('Mapa final'!$AB$38="Alta",'Mapa final'!$AD$38="Menor"),CONCATENATE("R11C",'Mapa final'!$R$38),"")</f>
        <v/>
      </c>
      <c r="O66" s="52" t="str">
        <f>IF(AND('Mapa final'!$AB$39="Alta",'Mapa final'!$AD$39="Menor"),CONCATENATE("R11C",'Mapa final'!$R$39),"")</f>
        <v/>
      </c>
      <c r="P66" s="119" t="str">
        <f>IF(AND('Mapa final'!$AB$37="Alta",'Mapa final'!$AD$37="Moderado"),CONCATENATE("R11C",'Mapa final'!$R$37),"")</f>
        <v/>
      </c>
      <c r="Q66" s="44" t="str">
        <f>IF(AND('Mapa final'!$AB$38="Alta",'Mapa final'!$AD$38="Moderado"),CONCATENATE("R11C",'Mapa final'!$R$38),"")</f>
        <v/>
      </c>
      <c r="R66" s="120" t="str">
        <f>IF(AND('Mapa final'!$AB$39="Alta",'Mapa final'!$AD$39="Moderado"),CONCATENATE("R11C",'Mapa final'!$R$39),"")</f>
        <v/>
      </c>
      <c r="S66" s="119" t="str">
        <f>IF(AND('Mapa final'!$AB$37="Alta",'Mapa final'!$AD$37="Mayor"),CONCATENATE("R11C",'Mapa final'!$R$37),"")</f>
        <v/>
      </c>
      <c r="T66" s="44" t="str">
        <f>IF(AND('Mapa final'!$AB$38="Alta",'Mapa final'!$AD$38="Mayor"),CONCATENATE("R11C",'Mapa final'!$R$38),"")</f>
        <v/>
      </c>
      <c r="U66" s="120" t="str">
        <f>IF(AND('Mapa final'!$AB$39="Alta",'Mapa final'!$AD$39="Mayor"),CONCATENATE("R11C",'Mapa final'!$R$39),"")</f>
        <v/>
      </c>
      <c r="V66" s="45" t="str">
        <f>IF(AND('Mapa final'!$AB$37="Alta",'Mapa final'!$AD$37="Catastrófico"),CONCATENATE("R11C",'Mapa final'!$R$37),"")</f>
        <v/>
      </c>
      <c r="W66" s="46" t="str">
        <f>IF(AND('Mapa final'!$AB$38="Alta",'Mapa final'!$AD$38="Catastrófico"),CONCATENATE("R11C",'Mapa final'!$R$38),"")</f>
        <v/>
      </c>
      <c r="X66" s="114" t="str">
        <f>IF(AND('Mapa final'!$AB$39="Alta",'Mapa final'!$AD$39="Catastrófico"),CONCATENATE("R11C",'Mapa final'!$R$39),"")</f>
        <v/>
      </c>
      <c r="Y66" s="58"/>
      <c r="Z66" s="361"/>
      <c r="AA66" s="362"/>
      <c r="AB66" s="362"/>
      <c r="AC66" s="362"/>
      <c r="AD66" s="362"/>
      <c r="AE66" s="363"/>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row>
    <row r="67" spans="1:61" ht="12" customHeight="1" x14ac:dyDescent="0.25">
      <c r="A67" s="58"/>
      <c r="B67" s="356"/>
      <c r="C67" s="356"/>
      <c r="D67" s="357"/>
      <c r="E67" s="371"/>
      <c r="F67" s="372"/>
      <c r="G67" s="372"/>
      <c r="H67" s="372"/>
      <c r="I67" s="370"/>
      <c r="J67" s="51" t="str">
        <f>IF(AND('Mapa final'!$AB$40="Alta",'Mapa final'!$AD$40="Leve"),CONCATENATE("R12C",'Mapa final'!$R$40),"")</f>
        <v/>
      </c>
      <c r="K67" s="52" t="str">
        <f>IF(AND('Mapa final'!$AB$41="Alta",'Mapa final'!$AD$41="Leve"),CONCATENATE("R12C",'Mapa final'!$R$41),"")</f>
        <v/>
      </c>
      <c r="L67" s="125" t="str">
        <f>IF(AND('Mapa final'!$AB$42="Alta",'Mapa final'!$AD$42="Leve"),CONCATENATE("R12C",'Mapa final'!$R$42),"")</f>
        <v/>
      </c>
      <c r="M67" s="51" t="str">
        <f>IF(AND('Mapa final'!$AB$40="Alta",'Mapa final'!$AD$40="Menor"),CONCATENATE("R12C",'Mapa final'!$R$40),"")</f>
        <v/>
      </c>
      <c r="N67" s="52" t="str">
        <f>IF(AND('Mapa final'!$AB$41="Alta",'Mapa final'!$AD$41="Menor"),CONCATENATE("R12C",'Mapa final'!$R$41),"")</f>
        <v/>
      </c>
      <c r="O67" s="52" t="str">
        <f>IF(AND('Mapa final'!$AB$42="Alta",'Mapa final'!$AD$42="Menor"),CONCATENATE("R12C",'Mapa final'!$R$42),"")</f>
        <v/>
      </c>
      <c r="P67" s="119" t="str">
        <f>IF(AND('Mapa final'!$AB$40="Alta",'Mapa final'!$AD$40="Moderado"),CONCATENATE("R12C",'Mapa final'!$R$40),"")</f>
        <v/>
      </c>
      <c r="Q67" s="44" t="str">
        <f>IF(AND('Mapa final'!$AB$41="Alta",'Mapa final'!$AD$41="Moderado"),CONCATENATE("R12C",'Mapa final'!$R$41),"")</f>
        <v/>
      </c>
      <c r="R67" s="120" t="str">
        <f>IF(AND('Mapa final'!$AB$42="Alta",'Mapa final'!$AD$42="Moderado"),CONCATENATE("R12C",'Mapa final'!$R$42),"")</f>
        <v/>
      </c>
      <c r="S67" s="119" t="str">
        <f>IF(AND('Mapa final'!$AB$40="Alta",'Mapa final'!$AD$40="Mayor"),CONCATENATE("R12C",'Mapa final'!$R$40),"")</f>
        <v/>
      </c>
      <c r="T67" s="44" t="str">
        <f>IF(AND('Mapa final'!$AB$41="Alta",'Mapa final'!$AD$41="Mayor"),CONCATENATE("R12C",'Mapa final'!$R$41),"")</f>
        <v/>
      </c>
      <c r="U67" s="120" t="str">
        <f>IF(AND('Mapa final'!$AB$42="Alta",'Mapa final'!$AD$42="Mayor"),CONCATENATE("R12C",'Mapa final'!$R$42),"")</f>
        <v/>
      </c>
      <c r="V67" s="45" t="str">
        <f>IF(AND('Mapa final'!$AB$40="Alta",'Mapa final'!$AD$40="Catastrófico"),CONCATENATE("R12C",'Mapa final'!$R$40),"")</f>
        <v/>
      </c>
      <c r="W67" s="46" t="str">
        <f>IF(AND('Mapa final'!$AB$41="Alta",'Mapa final'!$AD$41="Catastrófico"),CONCATENATE("R12C",'Mapa final'!$R$41),"")</f>
        <v/>
      </c>
      <c r="X67" s="114" t="str">
        <f>IF(AND('Mapa final'!$AB$42="Alta",'Mapa final'!$AD$42="Catastrófico"),CONCATENATE("R12C",'Mapa final'!$R$42),"")</f>
        <v/>
      </c>
      <c r="Y67" s="58"/>
      <c r="Z67" s="361"/>
      <c r="AA67" s="362"/>
      <c r="AB67" s="362"/>
      <c r="AC67" s="362"/>
      <c r="AD67" s="362"/>
      <c r="AE67" s="363"/>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row>
    <row r="68" spans="1:61" ht="12" customHeight="1" x14ac:dyDescent="0.25">
      <c r="A68" s="58"/>
      <c r="B68" s="356"/>
      <c r="C68" s="356"/>
      <c r="D68" s="357"/>
      <c r="E68" s="371"/>
      <c r="F68" s="372"/>
      <c r="G68" s="372"/>
      <c r="H68" s="372"/>
      <c r="I68" s="370"/>
      <c r="J68" s="51" t="str">
        <f>IF(AND('Mapa final'!$AB$43="Alta",'Mapa final'!$AD$43="Leve"),CONCATENATE("R13C",'Mapa final'!$R$43),"")</f>
        <v/>
      </c>
      <c r="K68" s="52" t="str">
        <f>IF(AND('Mapa final'!$AB$44="Alta",'Mapa final'!$AD$44="Leve"),CONCATENATE("R13C",'Mapa final'!$R$44),"")</f>
        <v/>
      </c>
      <c r="L68" s="125" t="str">
        <f>IF(AND('Mapa final'!$AB$45="Alta",'Mapa final'!$AD$45="Leve"),CONCATENATE("R13C",'Mapa final'!$R$45),"")</f>
        <v/>
      </c>
      <c r="M68" s="51" t="str">
        <f>IF(AND('Mapa final'!$AB$43="Alta",'Mapa final'!$AD$43="Menor"),CONCATENATE("R13C",'Mapa final'!$R$43),"")</f>
        <v/>
      </c>
      <c r="N68" s="52" t="str">
        <f>IF(AND('Mapa final'!$AB$44="Alta",'Mapa final'!$AD$44="Menor"),CONCATENATE("R13C",'Mapa final'!$R$44),"")</f>
        <v/>
      </c>
      <c r="O68" s="52" t="str">
        <f>IF(AND('Mapa final'!$AB$45="Alta",'Mapa final'!$AD$45="Menor"),CONCATENATE("R13C",'Mapa final'!$R$45),"")</f>
        <v/>
      </c>
      <c r="P68" s="119" t="str">
        <f>IF(AND('Mapa final'!$AB$43="Alta",'Mapa final'!$AD$43="Moderado"),CONCATENATE("R13C",'Mapa final'!$R$43),"")</f>
        <v/>
      </c>
      <c r="Q68" s="44" t="str">
        <f>IF(AND('Mapa final'!$AB$44="Alta",'Mapa final'!$AD$44="Moderado"),CONCATENATE("R13C",'Mapa final'!$R$44),"")</f>
        <v/>
      </c>
      <c r="R68" s="120" t="str">
        <f>IF(AND('Mapa final'!$AB$45="Alta",'Mapa final'!$AD$45="Moderado"),CONCATENATE("R13C",'Mapa final'!$R$45),"")</f>
        <v/>
      </c>
      <c r="S68" s="119" t="str">
        <f>IF(AND('Mapa final'!$AB$43="Alta",'Mapa final'!$AD$43="Mayor"),CONCATENATE("R13C",'Mapa final'!$R$43),"")</f>
        <v/>
      </c>
      <c r="T68" s="44" t="str">
        <f>IF(AND('Mapa final'!$AB$44="Alta",'Mapa final'!$AD$44="Mayor"),CONCATENATE("R13C",'Mapa final'!$R$44),"")</f>
        <v/>
      </c>
      <c r="U68" s="120" t="str">
        <f>IF(AND('Mapa final'!$AB$45="Alta",'Mapa final'!$AD$45="Mayor"),CONCATENATE("R13C",'Mapa final'!$R$45),"")</f>
        <v/>
      </c>
      <c r="V68" s="45" t="str">
        <f>IF(AND('Mapa final'!$AB$43="Alta",'Mapa final'!$AD$43="Catastrófico"),CONCATENATE("R13C",'Mapa final'!$R$43),"")</f>
        <v/>
      </c>
      <c r="W68" s="46" t="str">
        <f>IF(AND('Mapa final'!$AB$44="Alta",'Mapa final'!$AD$44="Catastrófico"),CONCATENATE("R13C",'Mapa final'!$R$44),"")</f>
        <v/>
      </c>
      <c r="X68" s="114" t="str">
        <f>IF(AND('Mapa final'!$AB$45="Alta",'Mapa final'!$AD$45="Catastrófico"),CONCATENATE("R13C",'Mapa final'!$R$45),"")</f>
        <v/>
      </c>
      <c r="Y68" s="58"/>
      <c r="Z68" s="361"/>
      <c r="AA68" s="362"/>
      <c r="AB68" s="362"/>
      <c r="AC68" s="362"/>
      <c r="AD68" s="362"/>
      <c r="AE68" s="363"/>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row>
    <row r="69" spans="1:61" ht="12" customHeight="1" x14ac:dyDescent="0.25">
      <c r="A69" s="58"/>
      <c r="B69" s="356"/>
      <c r="C69" s="356"/>
      <c r="D69" s="357"/>
      <c r="E69" s="371"/>
      <c r="F69" s="372"/>
      <c r="G69" s="372"/>
      <c r="H69" s="372"/>
      <c r="I69" s="370"/>
      <c r="J69" s="51" t="e">
        <f>IF(AND('Mapa final'!#REF!="Alta",'Mapa final'!#REF!="Leve"),CONCATENATE("R14C",'Mapa final'!#REF!),"")</f>
        <v>#REF!</v>
      </c>
      <c r="K69" s="52" t="e">
        <f>IF(AND('Mapa final'!#REF!="Alta",'Mapa final'!#REF!="Leve"),CONCATENATE("R14C",'Mapa final'!#REF!),"")</f>
        <v>#REF!</v>
      </c>
      <c r="L69" s="125" t="e">
        <f>IF(AND('Mapa final'!#REF!="Alta",'Mapa final'!#REF!="Leve"),CONCATENATE("R14C",'Mapa final'!#REF!),"")</f>
        <v>#REF!</v>
      </c>
      <c r="M69" s="51" t="e">
        <f>IF(AND('Mapa final'!#REF!="Alta",'Mapa final'!#REF!="Menor"),CONCATENATE("R14C",'Mapa final'!#REF!),"")</f>
        <v>#REF!</v>
      </c>
      <c r="N69" s="52" t="e">
        <f>IF(AND('Mapa final'!#REF!="Alta",'Mapa final'!#REF!="Menor"),CONCATENATE("R14C",'Mapa final'!#REF!),"")</f>
        <v>#REF!</v>
      </c>
      <c r="O69" s="52" t="e">
        <f>IF(AND('Mapa final'!#REF!="Alta",'Mapa final'!#REF!="Menor"),CONCATENATE("R14C",'Mapa final'!#REF!),"")</f>
        <v>#REF!</v>
      </c>
      <c r="P69" s="119" t="e">
        <f>IF(AND('Mapa final'!#REF!="Alta",'Mapa final'!#REF!="Moderado"),CONCATENATE("R14C",'Mapa final'!#REF!),"")</f>
        <v>#REF!</v>
      </c>
      <c r="Q69" s="44" t="e">
        <f>IF(AND('Mapa final'!#REF!="Alta",'Mapa final'!#REF!="Moderado"),CONCATENATE("R14C",'Mapa final'!#REF!),"")</f>
        <v>#REF!</v>
      </c>
      <c r="R69" s="120" t="e">
        <f>IF(AND('Mapa final'!#REF!="Alta",'Mapa final'!#REF!="Moderado"),CONCATENATE("R14C",'Mapa final'!#REF!),"")</f>
        <v>#REF!</v>
      </c>
      <c r="S69" s="119" t="e">
        <f>IF(AND('Mapa final'!#REF!="Alta",'Mapa final'!#REF!="Mayor"),CONCATENATE("R14C",'Mapa final'!#REF!),"")</f>
        <v>#REF!</v>
      </c>
      <c r="T69" s="44" t="e">
        <f>IF(AND('Mapa final'!#REF!="Alta",'Mapa final'!#REF!="Mayor"),CONCATENATE("R14C",'Mapa final'!#REF!),"")</f>
        <v>#REF!</v>
      </c>
      <c r="U69" s="120" t="e">
        <f>IF(AND('Mapa final'!#REF!="Alta",'Mapa final'!#REF!="Mayor"),CONCATENATE("R14C",'Mapa final'!#REF!),"")</f>
        <v>#REF!</v>
      </c>
      <c r="V69" s="45" t="e">
        <f>IF(AND('Mapa final'!#REF!="Alta",'Mapa final'!#REF!="Catastrófico"),CONCATENATE("R14C",'Mapa final'!#REF!),"")</f>
        <v>#REF!</v>
      </c>
      <c r="W69" s="46" t="e">
        <f>IF(AND('Mapa final'!#REF!="Alta",'Mapa final'!#REF!="Catastrófico"),CONCATENATE("R14C",'Mapa final'!#REF!),"")</f>
        <v>#REF!</v>
      </c>
      <c r="X69" s="114" t="e">
        <f>IF(AND('Mapa final'!#REF!="Alta",'Mapa final'!#REF!="Catastrófico"),CONCATENATE("R14C",'Mapa final'!#REF!),"")</f>
        <v>#REF!</v>
      </c>
      <c r="Y69" s="58"/>
      <c r="Z69" s="361"/>
      <c r="AA69" s="362"/>
      <c r="AB69" s="362"/>
      <c r="AC69" s="362"/>
      <c r="AD69" s="362"/>
      <c r="AE69" s="363"/>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row>
    <row r="70" spans="1:61" ht="15" customHeight="1" x14ac:dyDescent="0.25">
      <c r="A70" s="58"/>
      <c r="B70" s="356"/>
      <c r="C70" s="356"/>
      <c r="D70" s="357"/>
      <c r="E70" s="371"/>
      <c r="F70" s="372"/>
      <c r="G70" s="372"/>
      <c r="H70" s="372"/>
      <c r="I70" s="370"/>
      <c r="J70" s="51" t="str">
        <f>IF(AND('Mapa final'!$AB$46="Alta",'Mapa final'!$AD$46="Leve"),CONCATENATE("R15C",'Mapa final'!$R$46),"")</f>
        <v/>
      </c>
      <c r="K70" s="52" t="str">
        <f>IF(AND('Mapa final'!$AB$47="Alta",'Mapa final'!$AD$47="Leve"),CONCATENATE("R15C",'Mapa final'!$R$47),"")</f>
        <v/>
      </c>
      <c r="L70" s="125" t="str">
        <f>IF(AND('Mapa final'!$AB$48="Alta",'Mapa final'!$AD$48="Leve"),CONCATENATE("R15C",'Mapa final'!$R$48),"")</f>
        <v/>
      </c>
      <c r="M70" s="51" t="str">
        <f>IF(AND('Mapa final'!$AB$46="Alta",'Mapa final'!$AD$46="Menor"),CONCATENATE("R15C",'Mapa final'!$R$46),"")</f>
        <v/>
      </c>
      <c r="N70" s="52" t="str">
        <f>IF(AND('Mapa final'!$AB$47="Alta",'Mapa final'!$AD$47="Menor"),CONCATENATE("R15C",'Mapa final'!$R$47),"")</f>
        <v/>
      </c>
      <c r="O70" s="52" t="str">
        <f>IF(AND('Mapa final'!$AB$48="Alta",'Mapa final'!$AD$48="Menor"),CONCATENATE("R15C",'Mapa final'!$R$48),"")</f>
        <v/>
      </c>
      <c r="P70" s="119" t="str">
        <f>IF(AND('Mapa final'!$AB$46="Alta",'Mapa final'!$AD$46="Moderado"),CONCATENATE("R15C",'Mapa final'!$R$46),"")</f>
        <v/>
      </c>
      <c r="Q70" s="44" t="str">
        <f>IF(AND('Mapa final'!$AB$47="Alta",'Mapa final'!$AD$47="Moderado"),CONCATENATE("R15C",'Mapa final'!$R$47),"")</f>
        <v/>
      </c>
      <c r="R70" s="120" t="str">
        <f>IF(AND('Mapa final'!$AB$48="Alta",'Mapa final'!$AD$48="Moderado"),CONCATENATE("R15C",'Mapa final'!$R$48),"")</f>
        <v/>
      </c>
      <c r="S70" s="119" t="str">
        <f>IF(AND('Mapa final'!$AB$46="Alta",'Mapa final'!$AD$46="Mayor"),CONCATENATE("R15C",'Mapa final'!$R$46),"")</f>
        <v/>
      </c>
      <c r="T70" s="44" t="str">
        <f>IF(AND('Mapa final'!$AB$47="Alta",'Mapa final'!$AD$47="Mayor"),CONCATENATE("R15C",'Mapa final'!$R$47),"")</f>
        <v/>
      </c>
      <c r="U70" s="120" t="str">
        <f>IF(AND('Mapa final'!$AB$48="Alta",'Mapa final'!$AD$48="Mayor"),CONCATENATE("R15C",'Mapa final'!$R$48),"")</f>
        <v/>
      </c>
      <c r="V70" s="45" t="str">
        <f>IF(AND('Mapa final'!$AB$46="Alta",'Mapa final'!$AD$46="Catastrófico"),CONCATENATE("R15C",'Mapa final'!$R$46),"")</f>
        <v/>
      </c>
      <c r="W70" s="46" t="str">
        <f>IF(AND('Mapa final'!$AB$47="Alta",'Mapa final'!$AD$47="Catastrófico"),CONCATENATE("R15C",'Mapa final'!$R$47),"")</f>
        <v/>
      </c>
      <c r="X70" s="114" t="str">
        <f>IF(AND('Mapa final'!$AB$48="Alta",'Mapa final'!$AD$48="Catastrófico"),CONCATENATE("R15C",'Mapa final'!$R$48),"")</f>
        <v/>
      </c>
      <c r="Y70" s="58"/>
      <c r="Z70" s="361"/>
      <c r="AA70" s="362"/>
      <c r="AB70" s="362"/>
      <c r="AC70" s="362"/>
      <c r="AD70" s="362"/>
      <c r="AE70" s="363"/>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c r="BI70" s="58"/>
    </row>
    <row r="71" spans="1:61" ht="15" customHeight="1" x14ac:dyDescent="0.25">
      <c r="A71" s="58"/>
      <c r="B71" s="356"/>
      <c r="C71" s="356"/>
      <c r="D71" s="357"/>
      <c r="E71" s="371"/>
      <c r="F71" s="372"/>
      <c r="G71" s="372"/>
      <c r="H71" s="372"/>
      <c r="I71" s="370"/>
      <c r="J71" s="51" t="str">
        <f>IF(AND('Mapa final'!$AB$49="Alta",'Mapa final'!$AD$49="Leve"),CONCATENATE("R16C",'Mapa final'!$R$49),"")</f>
        <v/>
      </c>
      <c r="K71" s="52" t="str">
        <f>IF(AND('Mapa final'!$AB$50="Alta",'Mapa final'!$AD$50="Leve"),CONCATENATE("R16C",'Mapa final'!$R$50),"")</f>
        <v/>
      </c>
      <c r="L71" s="125" t="str">
        <f>IF(AND('Mapa final'!$AB$51="Alta",'Mapa final'!$AD$51="Leve"),CONCATENATE("R16C",'Mapa final'!$R$51),"")</f>
        <v/>
      </c>
      <c r="M71" s="51" t="str">
        <f>IF(AND('Mapa final'!$AB$49="Alta",'Mapa final'!$AD$49="Menor"),CONCATENATE("R16C",'Mapa final'!$R$49),"")</f>
        <v/>
      </c>
      <c r="N71" s="52" t="str">
        <f>IF(AND('Mapa final'!$AB$50="Alta",'Mapa final'!$AD$50="Menor"),CONCATENATE("R16C",'Mapa final'!$R$50),"")</f>
        <v/>
      </c>
      <c r="O71" s="52" t="str">
        <f>IF(AND('Mapa final'!$AB$51="Alta",'Mapa final'!$AD$51="Menor"),CONCATENATE("R16C",'Mapa final'!$R$51),"")</f>
        <v/>
      </c>
      <c r="P71" s="119" t="str">
        <f>IF(AND('Mapa final'!$AB$49="Alta",'Mapa final'!$AD$49="Moderado"),CONCATENATE("R16C",'Mapa final'!$R$49),"")</f>
        <v/>
      </c>
      <c r="Q71" s="44" t="str">
        <f>IF(AND('Mapa final'!$AB$50="Alta",'Mapa final'!$AD$50="Moderado"),CONCATENATE("R16C",'Mapa final'!$R$50),"")</f>
        <v/>
      </c>
      <c r="R71" s="120" t="str">
        <f>IF(AND('Mapa final'!$AB$51="Alta",'Mapa final'!$AD$51="Moderado"),CONCATENATE("R16C",'Mapa final'!$R$51),"")</f>
        <v/>
      </c>
      <c r="S71" s="119" t="str">
        <f>IF(AND('Mapa final'!$AB$49="Alta",'Mapa final'!$AD$49="Mayor"),CONCATENATE("R16C",'Mapa final'!$R$49),"")</f>
        <v/>
      </c>
      <c r="T71" s="44" t="str">
        <f>IF(AND('Mapa final'!$AB$50="Alta",'Mapa final'!$AD$50="Mayor"),CONCATENATE("R16C",'Mapa final'!$R$50),"")</f>
        <v/>
      </c>
      <c r="U71" s="120" t="str">
        <f>IF(AND('Mapa final'!$AB$51="Alta",'Mapa final'!$AD$51="Mayor"),CONCATENATE("R16C",'Mapa final'!$R$51),"")</f>
        <v/>
      </c>
      <c r="V71" s="45" t="str">
        <f>IF(AND('Mapa final'!$AB$49="Alta",'Mapa final'!$AD$49="Catastrófico"),CONCATENATE("R16C",'Mapa final'!$R$49),"")</f>
        <v/>
      </c>
      <c r="W71" s="46" t="str">
        <f>IF(AND('Mapa final'!$AB$50="Alta",'Mapa final'!$AD$50="Catastrófico"),CONCATENATE("R16C",'Mapa final'!$R$50),"")</f>
        <v/>
      </c>
      <c r="X71" s="114" t="str">
        <f>IF(AND('Mapa final'!$AB$51="Alta",'Mapa final'!$AD$51="Catastrófico"),CONCATENATE("R16C",'Mapa final'!$R$51),"")</f>
        <v/>
      </c>
      <c r="Y71" s="58"/>
      <c r="Z71" s="361"/>
      <c r="AA71" s="362"/>
      <c r="AB71" s="362"/>
      <c r="AC71" s="362"/>
      <c r="AD71" s="362"/>
      <c r="AE71" s="363"/>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row>
    <row r="72" spans="1:61" ht="15" customHeight="1" x14ac:dyDescent="0.25">
      <c r="A72" s="58"/>
      <c r="B72" s="356"/>
      <c r="C72" s="356"/>
      <c r="D72" s="357"/>
      <c r="E72" s="371"/>
      <c r="F72" s="372"/>
      <c r="G72" s="372"/>
      <c r="H72" s="372"/>
      <c r="I72" s="370"/>
      <c r="J72" s="51" t="str">
        <f>IF(AND('Mapa final'!$AB$52="Alta",'Mapa final'!$AD$52="Leve"),CONCATENATE("R17C",'Mapa final'!$R$52),"")</f>
        <v/>
      </c>
      <c r="K72" s="52" t="str">
        <f>IF(AND('Mapa final'!$AB$53="Alta",'Mapa final'!$AD$53="Leve"),CONCATENATE("R17C",'Mapa final'!$R$53),"")</f>
        <v/>
      </c>
      <c r="L72" s="125" t="str">
        <f>IF(AND('Mapa final'!$AB$54="Alta",'Mapa final'!$AD$54="Leve"),CONCATENATE("R17C",'Mapa final'!$R$54),"")</f>
        <v/>
      </c>
      <c r="M72" s="51" t="str">
        <f>IF(AND('Mapa final'!$AB$52="Alta",'Mapa final'!$AD$52="Menor"),CONCATENATE("R17C",'Mapa final'!$R$52),"")</f>
        <v/>
      </c>
      <c r="N72" s="52" t="str">
        <f>IF(AND('Mapa final'!$AB$53="Alta",'Mapa final'!$AD$53="Menor"),CONCATENATE("R17C",'Mapa final'!$R$53),"")</f>
        <v/>
      </c>
      <c r="O72" s="52" t="str">
        <f>IF(AND('Mapa final'!$AB$54="Alta",'Mapa final'!$AD$54="Menor"),CONCATENATE("R17C",'Mapa final'!$R$54),"")</f>
        <v/>
      </c>
      <c r="P72" s="119" t="str">
        <f>IF(AND('Mapa final'!$AB$52="Alta",'Mapa final'!$AD$52="Moderado"),CONCATENATE("R17C",'Mapa final'!$R$52),"")</f>
        <v/>
      </c>
      <c r="Q72" s="44" t="str">
        <f>IF(AND('Mapa final'!$AB$53="Alta",'Mapa final'!$AD$53="Moderado"),CONCATENATE("R17C",'Mapa final'!$R$53),"")</f>
        <v/>
      </c>
      <c r="R72" s="120" t="str">
        <f>IF(AND('Mapa final'!$AB$54="Alta",'Mapa final'!$AD$54="Moderado"),CONCATENATE("R17C",'Mapa final'!$R$54),"")</f>
        <v/>
      </c>
      <c r="S72" s="119" t="str">
        <f>IF(AND('Mapa final'!$AB$52="Alta",'Mapa final'!$AD$52="Mayor"),CONCATENATE("R17C",'Mapa final'!$R$52),"")</f>
        <v/>
      </c>
      <c r="T72" s="44" t="str">
        <f>IF(AND('Mapa final'!$AB$53="Alta",'Mapa final'!$AD$53="Mayor"),CONCATENATE("R17C",'Mapa final'!$R$53),"")</f>
        <v/>
      </c>
      <c r="U72" s="120" t="str">
        <f>IF(AND('Mapa final'!$AB$54="Alta",'Mapa final'!$AD$54="Mayor"),CONCATENATE("R17C",'Mapa final'!$R$54),"")</f>
        <v/>
      </c>
      <c r="V72" s="45" t="str">
        <f>IF(AND('Mapa final'!$AB$52="Alta",'Mapa final'!$AD$52="Catastrófico"),CONCATENATE("R17C",'Mapa final'!$R$52),"")</f>
        <v/>
      </c>
      <c r="W72" s="46" t="str">
        <f>IF(AND('Mapa final'!$AB$53="Alta",'Mapa final'!$AD$53="Catastrófico"),CONCATENATE("R17C",'Mapa final'!$R$53),"")</f>
        <v/>
      </c>
      <c r="X72" s="114" t="str">
        <f>IF(AND('Mapa final'!$AB$54="Alta",'Mapa final'!$AD$54="Catastrófico"),CONCATENATE("R17C",'Mapa final'!$R$54),"")</f>
        <v/>
      </c>
      <c r="Y72" s="58"/>
      <c r="Z72" s="361"/>
      <c r="AA72" s="362"/>
      <c r="AB72" s="362"/>
      <c r="AC72" s="362"/>
      <c r="AD72" s="362"/>
      <c r="AE72" s="363"/>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row>
    <row r="73" spans="1:61" ht="15" customHeight="1" x14ac:dyDescent="0.25">
      <c r="A73" s="58"/>
      <c r="B73" s="356"/>
      <c r="C73" s="356"/>
      <c r="D73" s="357"/>
      <c r="E73" s="371"/>
      <c r="F73" s="372"/>
      <c r="G73" s="372"/>
      <c r="H73" s="372"/>
      <c r="I73" s="370"/>
      <c r="J73" s="51" t="str">
        <f>IF(AND('Mapa final'!$AB$55="Alta",'Mapa final'!$AD$55="Leve"),CONCATENATE("R18C",'Mapa final'!$R$55),"")</f>
        <v/>
      </c>
      <c r="K73" s="52" t="str">
        <f>IF(AND('Mapa final'!$AB$56="Alta",'Mapa final'!$AD$56="Leve"),CONCATENATE("R18C",'Mapa final'!$R$56),"")</f>
        <v/>
      </c>
      <c r="L73" s="125" t="str">
        <f>IF(AND('Mapa final'!$AB$57="Alta",'Mapa final'!$AD$57="Leve"),CONCATENATE("R18C",'Mapa final'!$R$57),"")</f>
        <v/>
      </c>
      <c r="M73" s="51" t="str">
        <f>IF(AND('Mapa final'!$AB$55="Alta",'Mapa final'!$AD$55="Menor"),CONCATENATE("R18C",'Mapa final'!$R$55),"")</f>
        <v/>
      </c>
      <c r="N73" s="52" t="str">
        <f>IF(AND('Mapa final'!$AB$56="Alta",'Mapa final'!$AD$56="Menor"),CONCATENATE("R18C",'Mapa final'!$R$56),"")</f>
        <v/>
      </c>
      <c r="O73" s="52" t="str">
        <f>IF(AND('Mapa final'!$AB$57="Alta",'Mapa final'!$AD$57="Menor"),CONCATENATE("R18C",'Mapa final'!$R$57),"")</f>
        <v/>
      </c>
      <c r="P73" s="119" t="str">
        <f>IF(AND('Mapa final'!$AB$55="Alta",'Mapa final'!$AD$55="Moderado"),CONCATENATE("R18C",'Mapa final'!$R$55),"")</f>
        <v/>
      </c>
      <c r="Q73" s="44" t="str">
        <f>IF(AND('Mapa final'!$AB$56="Alta",'Mapa final'!$AD$56="Moderado"),CONCATENATE("R18C",'Mapa final'!$R$56),"")</f>
        <v/>
      </c>
      <c r="R73" s="120" t="str">
        <f>IF(AND('Mapa final'!$AB$57="Alta",'Mapa final'!$AD$57="Moderado"),CONCATENATE("R18C",'Mapa final'!$R$57),"")</f>
        <v/>
      </c>
      <c r="S73" s="119" t="str">
        <f>IF(AND('Mapa final'!$AB$55="Alta",'Mapa final'!$AD$55="Mayor"),CONCATENATE("R18C",'Mapa final'!$R$55),"")</f>
        <v/>
      </c>
      <c r="T73" s="44" t="str">
        <f>IF(AND('Mapa final'!$AB$56="Alta",'Mapa final'!$AD$56="Mayor"),CONCATENATE("R18C",'Mapa final'!$R$56),"")</f>
        <v/>
      </c>
      <c r="U73" s="120" t="str">
        <f>IF(AND('Mapa final'!$AB$57="Alta",'Mapa final'!$AD$57="Mayor"),CONCATENATE("R18C",'Mapa final'!$R$57),"")</f>
        <v/>
      </c>
      <c r="V73" s="45" t="str">
        <f>IF(AND('Mapa final'!$AB$55="Alta",'Mapa final'!$AD$55="Catastrófico"),CONCATENATE("R18C",'Mapa final'!$R$55),"")</f>
        <v/>
      </c>
      <c r="W73" s="46" t="str">
        <f>IF(AND('Mapa final'!$AB$56="Alta",'Mapa final'!$AD$56="Catastrófico"),CONCATENATE("R18C",'Mapa final'!$R$56),"")</f>
        <v/>
      </c>
      <c r="X73" s="114" t="str">
        <f>IF(AND('Mapa final'!$AB$57="Alta",'Mapa final'!$AD$57="Catastrófico"),CONCATENATE("R18C",'Mapa final'!$R$57),"")</f>
        <v/>
      </c>
      <c r="Y73" s="58"/>
      <c r="Z73" s="361"/>
      <c r="AA73" s="362"/>
      <c r="AB73" s="362"/>
      <c r="AC73" s="362"/>
      <c r="AD73" s="362"/>
      <c r="AE73" s="363"/>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row>
    <row r="74" spans="1:61" ht="15" customHeight="1" x14ac:dyDescent="0.25">
      <c r="A74" s="58"/>
      <c r="B74" s="356"/>
      <c r="C74" s="356"/>
      <c r="D74" s="357"/>
      <c r="E74" s="371"/>
      <c r="F74" s="372"/>
      <c r="G74" s="372"/>
      <c r="H74" s="372"/>
      <c r="I74" s="370"/>
      <c r="J74" s="51" t="str">
        <f>IF(AND('Mapa final'!$AB$58="Alta",'Mapa final'!$AD$58="Leve"),CONCATENATE("R19C",'Mapa final'!$R$58),"")</f>
        <v/>
      </c>
      <c r="K74" s="52" t="str">
        <f>IF(AND('Mapa final'!$AB$59="Alta",'Mapa final'!$AD$59="Leve"),CONCATENATE("R19C",'Mapa final'!$R$59),"")</f>
        <v/>
      </c>
      <c r="L74" s="125" t="str">
        <f>IF(AND('Mapa final'!$AB$60="Alta",'Mapa final'!$AD$60="Leve"),CONCATENATE("R19C",'Mapa final'!$R$60),"")</f>
        <v/>
      </c>
      <c r="M74" s="51" t="str">
        <f>IF(AND('Mapa final'!$AB$58="Alta",'Mapa final'!$AD$58="Menor"),CONCATENATE("R19C",'Mapa final'!$R$58),"")</f>
        <v/>
      </c>
      <c r="N74" s="52" t="str">
        <f>IF(AND('Mapa final'!$AB$59="Alta",'Mapa final'!$AD$59="Menor"),CONCATENATE("R19C",'Mapa final'!$R$59),"")</f>
        <v/>
      </c>
      <c r="O74" s="52" t="str">
        <f>IF(AND('Mapa final'!$AB$60="Alta",'Mapa final'!$AD$60="Menor"),CONCATENATE("R19C",'Mapa final'!$R$60),"")</f>
        <v/>
      </c>
      <c r="P74" s="119" t="str">
        <f>IF(AND('Mapa final'!$AB$58="Alta",'Mapa final'!$AD$58="Moderado"),CONCATENATE("R19C",'Mapa final'!$R$58),"")</f>
        <v/>
      </c>
      <c r="Q74" s="44" t="str">
        <f>IF(AND('Mapa final'!$AB$59="Alta",'Mapa final'!$AD$59="Moderado"),CONCATENATE("R19C",'Mapa final'!$R$59),"")</f>
        <v/>
      </c>
      <c r="R74" s="120" t="str">
        <f>IF(AND('Mapa final'!$AB$60="Alta",'Mapa final'!$AD$60="Moderado"),CONCATENATE("R19C",'Mapa final'!$R$60),"")</f>
        <v/>
      </c>
      <c r="S74" s="119" t="str">
        <f>IF(AND('Mapa final'!$AB$58="Alta",'Mapa final'!$AD$58="Mayor"),CONCATENATE("R19C",'Mapa final'!$R$58),"")</f>
        <v/>
      </c>
      <c r="T74" s="44" t="str">
        <f>IF(AND('Mapa final'!$AB$59="Alta",'Mapa final'!$AD$59="Mayor"),CONCATENATE("R19C",'Mapa final'!$R$59),"")</f>
        <v/>
      </c>
      <c r="U74" s="120" t="str">
        <f>IF(AND('Mapa final'!$AB$60="Alta",'Mapa final'!$AD$60="Mayor"),CONCATENATE("R19C",'Mapa final'!$R$60),"")</f>
        <v/>
      </c>
      <c r="V74" s="45" t="str">
        <f>IF(AND('Mapa final'!$AB$58="Alta",'Mapa final'!$AD$58="Catastrófico"),CONCATENATE("R19C",'Mapa final'!$R$58),"")</f>
        <v/>
      </c>
      <c r="W74" s="46" t="str">
        <f>IF(AND('Mapa final'!$AB$59="Alta",'Mapa final'!$AD$59="Catastrófico"),CONCATENATE("R19C",'Mapa final'!$R$59),"")</f>
        <v/>
      </c>
      <c r="X74" s="114" t="str">
        <f>IF(AND('Mapa final'!$AB$60="Alta",'Mapa final'!$AD$60="Catastrófico"),CONCATENATE("R19C",'Mapa final'!$R$60),"")</f>
        <v/>
      </c>
      <c r="Y74" s="58"/>
      <c r="Z74" s="361"/>
      <c r="AA74" s="362"/>
      <c r="AB74" s="362"/>
      <c r="AC74" s="362"/>
      <c r="AD74" s="362"/>
      <c r="AE74" s="363"/>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row>
    <row r="75" spans="1:61" ht="15" customHeight="1" x14ac:dyDescent="0.25">
      <c r="A75" s="58"/>
      <c r="B75" s="356"/>
      <c r="C75" s="356"/>
      <c r="D75" s="357"/>
      <c r="E75" s="371"/>
      <c r="F75" s="372"/>
      <c r="G75" s="372"/>
      <c r="H75" s="372"/>
      <c r="I75" s="370"/>
      <c r="J75" s="51" t="str">
        <f>IF(AND('Mapa final'!$AB$61="Alta",'Mapa final'!$AD$61="Leve"),CONCATENATE("R20C",'Mapa final'!$R$61),"")</f>
        <v/>
      </c>
      <c r="K75" s="52" t="str">
        <f>IF(AND('Mapa final'!$AB$62="Alta",'Mapa final'!$AD$62="Leve"),CONCATENATE("R20C",'Mapa final'!$R$62),"")</f>
        <v/>
      </c>
      <c r="L75" s="125" t="str">
        <f>IF(AND('Mapa final'!$AB$63="Alta",'Mapa final'!$AD$63="Leve"),CONCATENATE("R20C",'Mapa final'!$R$63),"")</f>
        <v/>
      </c>
      <c r="M75" s="51" t="str">
        <f>IF(AND('Mapa final'!$AB$61="Alta",'Mapa final'!$AD$61="Menor"),CONCATENATE("R20C",'Mapa final'!$R$61),"")</f>
        <v/>
      </c>
      <c r="N75" s="52" t="str">
        <f>IF(AND('Mapa final'!$AB$62="Alta",'Mapa final'!$AD$62="Menor"),CONCATENATE("R20C",'Mapa final'!$R$62),"")</f>
        <v/>
      </c>
      <c r="O75" s="52" t="str">
        <f>IF(AND('Mapa final'!$AB$63="Alta",'Mapa final'!$AD$63="Menor"),CONCATENATE("R20C",'Mapa final'!$R$63),"")</f>
        <v/>
      </c>
      <c r="P75" s="119" t="str">
        <f>IF(AND('Mapa final'!$AB$61="Alta",'Mapa final'!$AD$61="Moderado"),CONCATENATE("R20C",'Mapa final'!$R$61),"")</f>
        <v/>
      </c>
      <c r="Q75" s="44" t="str">
        <f>IF(AND('Mapa final'!$AB$62="Alta",'Mapa final'!$AD$62="Moderado"),CONCATENATE("R20C",'Mapa final'!$R$62),"")</f>
        <v/>
      </c>
      <c r="R75" s="120" t="str">
        <f>IF(AND('Mapa final'!$AB$63="Alta",'Mapa final'!$AD$63="Moderado"),CONCATENATE("R20C",'Mapa final'!$R$63),"")</f>
        <v/>
      </c>
      <c r="S75" s="119" t="str">
        <f>IF(AND('Mapa final'!$AB$61="Alta",'Mapa final'!$AD$61="Mayor"),CONCATENATE("R20C",'Mapa final'!$R$61),"")</f>
        <v/>
      </c>
      <c r="T75" s="44" t="str">
        <f>IF(AND('Mapa final'!$AB$62="Alta",'Mapa final'!$AD$62="Mayor"),CONCATENATE("R20C",'Mapa final'!$R$62),"")</f>
        <v/>
      </c>
      <c r="U75" s="120" t="str">
        <f>IF(AND('Mapa final'!$AB$63="Alta",'Mapa final'!$AD$63="Mayor"),CONCATENATE("R20C",'Mapa final'!$R$63),"")</f>
        <v/>
      </c>
      <c r="V75" s="45" t="str">
        <f>IF(AND('Mapa final'!$AB$61="Alta",'Mapa final'!$AD$61="Catastrófico"),CONCATENATE("R20C",'Mapa final'!$R$61),"")</f>
        <v/>
      </c>
      <c r="W75" s="46" t="str">
        <f>IF(AND('Mapa final'!$AB$62="Alta",'Mapa final'!$AD$62="Catastrófico"),CONCATENATE("R20C",'Mapa final'!$R$62),"")</f>
        <v/>
      </c>
      <c r="X75" s="114" t="str">
        <f>IF(AND('Mapa final'!$AB$63="Alta",'Mapa final'!$AD$63="Catastrófico"),CONCATENATE("R20C",'Mapa final'!$R$63),"")</f>
        <v/>
      </c>
      <c r="Y75" s="58"/>
      <c r="Z75" s="361"/>
      <c r="AA75" s="362"/>
      <c r="AB75" s="362"/>
      <c r="AC75" s="362"/>
      <c r="AD75" s="362"/>
      <c r="AE75" s="363"/>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row>
    <row r="76" spans="1:61" ht="15" customHeight="1" x14ac:dyDescent="0.25">
      <c r="A76" s="58"/>
      <c r="B76" s="356"/>
      <c r="C76" s="356"/>
      <c r="D76" s="357"/>
      <c r="E76" s="371"/>
      <c r="F76" s="372"/>
      <c r="G76" s="372"/>
      <c r="H76" s="372"/>
      <c r="I76" s="370"/>
      <c r="J76" s="51" t="str">
        <f>IF(AND('Mapa final'!$AB$64="Alta",'Mapa final'!$AD$64="Leve"),CONCATENATE("R21C",'Mapa final'!$R$64),"")</f>
        <v/>
      </c>
      <c r="K76" s="52" t="str">
        <f>IF(AND('Mapa final'!$AB$65="Alta",'Mapa final'!$AD$65="Leve"),CONCATENATE("R21C",'Mapa final'!$R$65),"")</f>
        <v/>
      </c>
      <c r="L76" s="125" t="str">
        <f>IF(AND('Mapa final'!$AB$66="Alta",'Mapa final'!$AD$66="Leve"),CONCATENATE("R21C",'Mapa final'!$R$66),"")</f>
        <v/>
      </c>
      <c r="M76" s="51" t="str">
        <f>IF(AND('Mapa final'!$AB$64="Alta",'Mapa final'!$AD$64="Menor"),CONCATENATE("R21C",'Mapa final'!$R$64),"")</f>
        <v/>
      </c>
      <c r="N76" s="52" t="str">
        <f>IF(AND('Mapa final'!$AB$65="Alta",'Mapa final'!$AD$65="Menor"),CONCATENATE("R21C",'Mapa final'!$R$65),"")</f>
        <v/>
      </c>
      <c r="O76" s="52" t="str">
        <f>IF(AND('Mapa final'!$AB$66="Alta",'Mapa final'!$AD$66="Menor"),CONCATENATE("R21C",'Mapa final'!$R$66),"")</f>
        <v/>
      </c>
      <c r="P76" s="119" t="str">
        <f>IF(AND('Mapa final'!$AB$64="Alta",'Mapa final'!$AD$64="Moderado"),CONCATENATE("R21C",'Mapa final'!$R$64),"")</f>
        <v/>
      </c>
      <c r="Q76" s="44" t="str">
        <f>IF(AND('Mapa final'!$AB$65="Alta",'Mapa final'!$AD$65="Moderado"),CONCATENATE("R21C",'Mapa final'!$R$65),"")</f>
        <v/>
      </c>
      <c r="R76" s="120" t="str">
        <f>IF(AND('Mapa final'!$AB$66="Alta",'Mapa final'!$AD$66="Moderado"),CONCATENATE("R21C",'Mapa final'!$R$66),"")</f>
        <v/>
      </c>
      <c r="S76" s="119" t="str">
        <f>IF(AND('Mapa final'!$AB$64="Alta",'Mapa final'!$AD$64="Mayor"),CONCATENATE("R21C",'Mapa final'!$R$64),"")</f>
        <v/>
      </c>
      <c r="T76" s="44" t="str">
        <f>IF(AND('Mapa final'!$AB$65="Alta",'Mapa final'!$AD$65="Mayor"),CONCATENATE("R21C",'Mapa final'!$R$65),"")</f>
        <v/>
      </c>
      <c r="U76" s="120" t="str">
        <f>IF(AND('Mapa final'!$AB$66="Alta",'Mapa final'!$AD$66="Mayor"),CONCATENATE("R21C",'Mapa final'!$R$66),"")</f>
        <v/>
      </c>
      <c r="V76" s="45" t="str">
        <f>IF(AND('Mapa final'!$AB$64="Alta",'Mapa final'!$AD$64="Catastrófico"),CONCATENATE("R21C",'Mapa final'!$R$64),"")</f>
        <v/>
      </c>
      <c r="W76" s="46" t="str">
        <f>IF(AND('Mapa final'!$AB$65="Alta",'Mapa final'!$AD$65="Catastrófico"),CONCATENATE("R21C",'Mapa final'!$R$65),"")</f>
        <v/>
      </c>
      <c r="X76" s="114" t="str">
        <f>IF(AND('Mapa final'!$AB$66="Alta",'Mapa final'!$AD$66="Catastrófico"),CONCATENATE("R21C",'Mapa final'!$R$66),"")</f>
        <v/>
      </c>
      <c r="Y76" s="58"/>
      <c r="Z76" s="361"/>
      <c r="AA76" s="362"/>
      <c r="AB76" s="362"/>
      <c r="AC76" s="362"/>
      <c r="AD76" s="362"/>
      <c r="AE76" s="363"/>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row>
    <row r="77" spans="1:61" ht="15" customHeight="1" x14ac:dyDescent="0.25">
      <c r="A77" s="58"/>
      <c r="B77" s="356"/>
      <c r="C77" s="356"/>
      <c r="D77" s="357"/>
      <c r="E77" s="371"/>
      <c r="F77" s="372"/>
      <c r="G77" s="372"/>
      <c r="H77" s="372"/>
      <c r="I77" s="370"/>
      <c r="J77" s="51" t="str">
        <f>IF(AND('Mapa final'!$AB$67="Alta",'Mapa final'!$AD$67="Leve"),CONCATENATE("R22C",'Mapa final'!$R$67),"")</f>
        <v/>
      </c>
      <c r="K77" s="52" t="str">
        <f>IF(AND('Mapa final'!$AB$68="Alta",'Mapa final'!$AD$68="Leve"),CONCATENATE("R22C",'Mapa final'!$R$68),"")</f>
        <v/>
      </c>
      <c r="L77" s="125" t="str">
        <f>IF(AND('Mapa final'!$AB$69="Alta",'Mapa final'!$AD$69="Leve"),CONCATENATE("R22C",'Mapa final'!$R$69),"")</f>
        <v/>
      </c>
      <c r="M77" s="51" t="str">
        <f>IF(AND('Mapa final'!$AB$67="Alta",'Mapa final'!$AD$67="Menor"),CONCATENATE("R22C",'Mapa final'!$R$67),"")</f>
        <v/>
      </c>
      <c r="N77" s="52" t="str">
        <f>IF(AND('Mapa final'!$AB$68="Alta",'Mapa final'!$AD$68="Menor"),CONCATENATE("R22C",'Mapa final'!$R$68),"")</f>
        <v/>
      </c>
      <c r="O77" s="52" t="str">
        <f>IF(AND('Mapa final'!$AB$69="Alta",'Mapa final'!$AD$69="Menor"),CONCATENATE("R22C",'Mapa final'!$R$69),"")</f>
        <v/>
      </c>
      <c r="P77" s="119" t="str">
        <f>IF(AND('Mapa final'!$AB$67="Alta",'Mapa final'!$AD$67="Moderado"),CONCATENATE("R22C",'Mapa final'!$R$67),"")</f>
        <v/>
      </c>
      <c r="Q77" s="44" t="str">
        <f>IF(AND('Mapa final'!$AB$68="Alta",'Mapa final'!$AD$68="Moderado"),CONCATENATE("R22C",'Mapa final'!$R$68),"")</f>
        <v/>
      </c>
      <c r="R77" s="120" t="str">
        <f>IF(AND('Mapa final'!$AB$69="Alta",'Mapa final'!$AD$69="Moderado"),CONCATENATE("R22C",'Mapa final'!$R$69),"")</f>
        <v/>
      </c>
      <c r="S77" s="119" t="str">
        <f>IF(AND('Mapa final'!$AB$67="Alta",'Mapa final'!$AD$67="Mayor"),CONCATENATE("R22C",'Mapa final'!$R$67),"")</f>
        <v/>
      </c>
      <c r="T77" s="44" t="str">
        <f>IF(AND('Mapa final'!$AB$68="Alta",'Mapa final'!$AD$68="Mayor"),CONCATENATE("R22C",'Mapa final'!$R$68),"")</f>
        <v/>
      </c>
      <c r="U77" s="120" t="str">
        <f>IF(AND('Mapa final'!$AB$69="Alta",'Mapa final'!$AD$69="Mayor"),CONCATENATE("R22C",'Mapa final'!$R$69),"")</f>
        <v/>
      </c>
      <c r="V77" s="45" t="str">
        <f>IF(AND('Mapa final'!$AB$67="Alta",'Mapa final'!$AD$67="Catastrófico"),CONCATENATE("R22C",'Mapa final'!$R$67),"")</f>
        <v/>
      </c>
      <c r="W77" s="46" t="str">
        <f>IF(AND('Mapa final'!$AB$68="Alta",'Mapa final'!$AD$68="Catastrófico"),CONCATENATE("R22C",'Mapa final'!$R$68),"")</f>
        <v/>
      </c>
      <c r="X77" s="114" t="str">
        <f>IF(AND('Mapa final'!$AB$69="Alta",'Mapa final'!$AD$69="Catastrófico"),CONCATENATE("R22C",'Mapa final'!$R$69),"")</f>
        <v/>
      </c>
      <c r="Y77" s="58"/>
      <c r="Z77" s="361"/>
      <c r="AA77" s="362"/>
      <c r="AB77" s="362"/>
      <c r="AC77" s="362"/>
      <c r="AD77" s="362"/>
      <c r="AE77" s="363"/>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row>
    <row r="78" spans="1:61" ht="15" customHeight="1" x14ac:dyDescent="0.25">
      <c r="A78" s="58"/>
      <c r="B78" s="356"/>
      <c r="C78" s="356"/>
      <c r="D78" s="357"/>
      <c r="E78" s="371"/>
      <c r="F78" s="372"/>
      <c r="G78" s="372"/>
      <c r="H78" s="372"/>
      <c r="I78" s="370"/>
      <c r="J78" s="51" t="str">
        <f>IF(AND('Mapa final'!$AB$70="Alta",'Mapa final'!$AD$70="Leve"),CONCATENATE("R23C",'Mapa final'!$R$70),"")</f>
        <v/>
      </c>
      <c r="K78" s="52" t="str">
        <f>IF(AND('Mapa final'!$AB$71="Alta",'Mapa final'!$AD$71="Leve"),CONCATENATE("R23C",'Mapa final'!$R$71),"")</f>
        <v/>
      </c>
      <c r="L78" s="125" t="str">
        <f>IF(AND('Mapa final'!$AB$72="Alta",'Mapa final'!$AD$72="Leve"),CONCATENATE("R23C",'Mapa final'!$R$72),"")</f>
        <v/>
      </c>
      <c r="M78" s="51" t="str">
        <f>IF(AND('Mapa final'!$AB$70="Alta",'Mapa final'!$AD$70="Menor"),CONCATENATE("R23C",'Mapa final'!$R$70),"")</f>
        <v/>
      </c>
      <c r="N78" s="52" t="str">
        <f>IF(AND('Mapa final'!$AB$71="Alta",'Mapa final'!$AD$71="Menor"),CONCATENATE("R23C",'Mapa final'!$R$71),"")</f>
        <v/>
      </c>
      <c r="O78" s="52" t="str">
        <f>IF(AND('Mapa final'!$AB$72="Alta",'Mapa final'!$AD$72="Menor"),CONCATENATE("R23C",'Mapa final'!$R$72),"")</f>
        <v/>
      </c>
      <c r="P78" s="119" t="str">
        <f>IF(AND('Mapa final'!$AB$70="Alta",'Mapa final'!$AD$70="Moderado"),CONCATENATE("R23C",'Mapa final'!$R$70),"")</f>
        <v/>
      </c>
      <c r="Q78" s="44" t="str">
        <f>IF(AND('Mapa final'!$AB$71="Alta",'Mapa final'!$AD$71="Moderado"),CONCATENATE("R23C",'Mapa final'!$R$71),"")</f>
        <v/>
      </c>
      <c r="R78" s="120" t="str">
        <f>IF(AND('Mapa final'!$AB$72="Alta",'Mapa final'!$AD$72="Moderado"),CONCATENATE("R23C",'Mapa final'!$R$72),"")</f>
        <v/>
      </c>
      <c r="S78" s="119" t="str">
        <f>IF(AND('Mapa final'!$AB$70="Alta",'Mapa final'!$AD$70="Mayor"),CONCATENATE("R23C",'Mapa final'!$R$70),"")</f>
        <v/>
      </c>
      <c r="T78" s="44" t="str">
        <f>IF(AND('Mapa final'!$AB$71="Alta",'Mapa final'!$AD$71="Mayor"),CONCATENATE("R23C",'Mapa final'!$R$71),"")</f>
        <v/>
      </c>
      <c r="U78" s="120" t="str">
        <f>IF(AND('Mapa final'!$AB$72="Alta",'Mapa final'!$AD$72="Mayor"),CONCATENATE("R23C",'Mapa final'!$R$72),"")</f>
        <v/>
      </c>
      <c r="V78" s="45" t="str">
        <f>IF(AND('Mapa final'!$AB$70="Alta",'Mapa final'!$AD$70="Catastrófico"),CONCATENATE("R23C",'Mapa final'!$R$70),"")</f>
        <v/>
      </c>
      <c r="W78" s="46" t="str">
        <f>IF(AND('Mapa final'!$AB$71="Alta",'Mapa final'!$AD$71="Catastrófico"),CONCATENATE("R23C",'Mapa final'!$R$71),"")</f>
        <v/>
      </c>
      <c r="X78" s="114" t="str">
        <f>IF(AND('Mapa final'!$AB$72="Alta",'Mapa final'!$AD$72="Catastrófico"),CONCATENATE("R23C",'Mapa final'!$R$72),"")</f>
        <v/>
      </c>
      <c r="Y78" s="58"/>
      <c r="Z78" s="361"/>
      <c r="AA78" s="362"/>
      <c r="AB78" s="362"/>
      <c r="AC78" s="362"/>
      <c r="AD78" s="362"/>
      <c r="AE78" s="363"/>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row>
    <row r="79" spans="1:61" ht="15" customHeight="1" x14ac:dyDescent="0.25">
      <c r="A79" s="58"/>
      <c r="B79" s="356"/>
      <c r="C79" s="356"/>
      <c r="D79" s="357"/>
      <c r="E79" s="371"/>
      <c r="F79" s="372"/>
      <c r="G79" s="372"/>
      <c r="H79" s="372"/>
      <c r="I79" s="370"/>
      <c r="J79" s="51" t="str">
        <f>IF(AND('Mapa final'!$AB$73="Alta",'Mapa final'!$AD$73="Leve"),CONCATENATE("R24C",'Mapa final'!$R$73),"")</f>
        <v/>
      </c>
      <c r="K79" s="52" t="str">
        <f>IF(AND('Mapa final'!$AB$74="Alta",'Mapa final'!$AD$74="Leve"),CONCATENATE("R24C",'Mapa final'!$R$74),"")</f>
        <v/>
      </c>
      <c r="L79" s="125" t="str">
        <f>IF(AND('Mapa final'!$AB$75="Alta",'Mapa final'!$AD$75="Leve"),CONCATENATE("R24C",'Mapa final'!$R$75),"")</f>
        <v/>
      </c>
      <c r="M79" s="51" t="str">
        <f>IF(AND('Mapa final'!$AB$73="Alta",'Mapa final'!$AD$73="Menor"),CONCATENATE("R24C",'Mapa final'!$R$73),"")</f>
        <v/>
      </c>
      <c r="N79" s="52" t="str">
        <f>IF(AND('Mapa final'!$AB$74="Alta",'Mapa final'!$AD$74="Menor"),CONCATENATE("R24C",'Mapa final'!$R$74),"")</f>
        <v/>
      </c>
      <c r="O79" s="52" t="str">
        <f>IF(AND('Mapa final'!$AB$75="Alta",'Mapa final'!$AD$75="Menor"),CONCATENATE("R24C",'Mapa final'!$R$75),"")</f>
        <v/>
      </c>
      <c r="P79" s="119" t="str">
        <f>IF(AND('Mapa final'!$AB$73="Alta",'Mapa final'!$AD$73="Moderado"),CONCATENATE("R24C",'Mapa final'!$R$73),"")</f>
        <v/>
      </c>
      <c r="Q79" s="44" t="str">
        <f>IF(AND('Mapa final'!$AB$74="Alta",'Mapa final'!$AD$74="Moderado"),CONCATENATE("R24C",'Mapa final'!$R$74),"")</f>
        <v/>
      </c>
      <c r="R79" s="120" t="str">
        <f>IF(AND('Mapa final'!$AB$75="Alta",'Mapa final'!$AD$75="Moderado"),CONCATENATE("R24C",'Mapa final'!$R$75),"")</f>
        <v/>
      </c>
      <c r="S79" s="119" t="str">
        <f>IF(AND('Mapa final'!$AB$73="Alta",'Mapa final'!$AD$73="Mayor"),CONCATENATE("R24C",'Mapa final'!$R$73),"")</f>
        <v/>
      </c>
      <c r="T79" s="44" t="str">
        <f>IF(AND('Mapa final'!$AB$74="Alta",'Mapa final'!$AD$74="Mayor"),CONCATENATE("R24C",'Mapa final'!$R$74),"")</f>
        <v/>
      </c>
      <c r="U79" s="120" t="str">
        <f>IF(AND('Mapa final'!$AB$75="Alta",'Mapa final'!$AD$75="Mayor"),CONCATENATE("R24C",'Mapa final'!$R$75),"")</f>
        <v/>
      </c>
      <c r="V79" s="45" t="str">
        <f>IF(AND('Mapa final'!$AB$73="Alta",'Mapa final'!$AD$73="Catastrófico"),CONCATENATE("R24C",'Mapa final'!$R$73),"")</f>
        <v/>
      </c>
      <c r="W79" s="46" t="str">
        <f>IF(AND('Mapa final'!$AB$74="Alta",'Mapa final'!$AD$74="Catastrófico"),CONCATENATE("R24C",'Mapa final'!$R$74),"")</f>
        <v/>
      </c>
      <c r="X79" s="114" t="str">
        <f>IF(AND('Mapa final'!$AB$75="Alta",'Mapa final'!$AD$75="Catastrófico"),CONCATENATE("R24C",'Mapa final'!$R$75),"")</f>
        <v/>
      </c>
      <c r="Y79" s="58"/>
      <c r="Z79" s="361"/>
      <c r="AA79" s="362"/>
      <c r="AB79" s="362"/>
      <c r="AC79" s="362"/>
      <c r="AD79" s="362"/>
      <c r="AE79" s="363"/>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row>
    <row r="80" spans="1:61" ht="15" customHeight="1" x14ac:dyDescent="0.25">
      <c r="A80" s="58"/>
      <c r="B80" s="356"/>
      <c r="C80" s="356"/>
      <c r="D80" s="357"/>
      <c r="E80" s="371"/>
      <c r="F80" s="372"/>
      <c r="G80" s="372"/>
      <c r="H80" s="372"/>
      <c r="I80" s="370"/>
      <c r="J80" s="51" t="str">
        <f>IF(AND('Mapa final'!$AB$76="Alta",'Mapa final'!$AD$76="Leve"),CONCATENATE("R25C",'Mapa final'!$R$76),"")</f>
        <v/>
      </c>
      <c r="K80" s="52" t="str">
        <f>IF(AND('Mapa final'!$AB$77="Alta",'Mapa final'!$AD$77="Leve"),CONCATENATE("R25C",'Mapa final'!$R$77),"")</f>
        <v/>
      </c>
      <c r="L80" s="125" t="str">
        <f>IF(AND('Mapa final'!$AB$78="Alta",'Mapa final'!$AD$78="Leve"),CONCATENATE("R25C",'Mapa final'!$R$78),"")</f>
        <v/>
      </c>
      <c r="M80" s="51" t="str">
        <f>IF(AND('Mapa final'!$AB$76="Alta",'Mapa final'!$AD$76="Menor"),CONCATENATE("R25C",'Mapa final'!$R$76),"")</f>
        <v/>
      </c>
      <c r="N80" s="52" t="str">
        <f>IF(AND('Mapa final'!$AB$77="Alta",'Mapa final'!$AD$77="Menor"),CONCATENATE("R25C",'Mapa final'!$R$77),"")</f>
        <v/>
      </c>
      <c r="O80" s="52" t="str">
        <f>IF(AND('Mapa final'!$AB$78="Alta",'Mapa final'!$AD$78="Menor"),CONCATENATE("R25C",'Mapa final'!$R$78),"")</f>
        <v/>
      </c>
      <c r="P80" s="119" t="str">
        <f>IF(AND('Mapa final'!$AB$76="Alta",'Mapa final'!$AD$76="Moderado"),CONCATENATE("R25C",'Mapa final'!$R$76),"")</f>
        <v/>
      </c>
      <c r="Q80" s="44" t="str">
        <f>IF(AND('Mapa final'!$AB$77="Alta",'Mapa final'!$AD$77="Moderado"),CONCATENATE("R25C",'Mapa final'!$R$77),"")</f>
        <v/>
      </c>
      <c r="R80" s="120" t="str">
        <f>IF(AND('Mapa final'!$AB$78="Alta",'Mapa final'!$AD$78="Moderado"),CONCATENATE("R25C",'Mapa final'!$R$78),"")</f>
        <v/>
      </c>
      <c r="S80" s="119" t="str">
        <f>IF(AND('Mapa final'!$AB$76="Alta",'Mapa final'!$AD$76="Mayor"),CONCATENATE("R25C",'Mapa final'!$R$76),"")</f>
        <v/>
      </c>
      <c r="T80" s="44" t="str">
        <f>IF(AND('Mapa final'!$AB$77="Alta",'Mapa final'!$AD$77="Mayor"),CONCATENATE("R25C",'Mapa final'!$R$77),"")</f>
        <v/>
      </c>
      <c r="U80" s="120" t="str">
        <f>IF(AND('Mapa final'!$AB$78="Alta",'Mapa final'!$AD$78="Mayor"),CONCATENATE("R25C",'Mapa final'!$R$78),"")</f>
        <v/>
      </c>
      <c r="V80" s="45" t="str">
        <f>IF(AND('Mapa final'!$AB$76="Alta",'Mapa final'!$AD$76="Catastrófico"),CONCATENATE("R25C",'Mapa final'!$R$76),"")</f>
        <v/>
      </c>
      <c r="W80" s="46" t="str">
        <f>IF(AND('Mapa final'!$AB$77="Alta",'Mapa final'!$AD$77="Catastrófico"),CONCATENATE("R25C",'Mapa final'!$R$77),"")</f>
        <v/>
      </c>
      <c r="X80" s="114" t="str">
        <f>IF(AND('Mapa final'!$AB$78="Alta",'Mapa final'!$AD$78="Catastrófico"),CONCATENATE("R25C",'Mapa final'!$R$78),"")</f>
        <v/>
      </c>
      <c r="Y80" s="58"/>
      <c r="Z80" s="361"/>
      <c r="AA80" s="362"/>
      <c r="AB80" s="362"/>
      <c r="AC80" s="362"/>
      <c r="AD80" s="362"/>
      <c r="AE80" s="363"/>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row>
    <row r="81" spans="1:61" ht="15" customHeight="1" x14ac:dyDescent="0.25">
      <c r="A81" s="58"/>
      <c r="B81" s="356"/>
      <c r="C81" s="356"/>
      <c r="D81" s="357"/>
      <c r="E81" s="371"/>
      <c r="F81" s="372"/>
      <c r="G81" s="372"/>
      <c r="H81" s="372"/>
      <c r="I81" s="370"/>
      <c r="J81" s="51" t="str">
        <f>IF(AND('Mapa final'!$AB$79="Alta",'Mapa final'!$AD$79="Leve"),CONCATENATE("R26C",'Mapa final'!$R$79),"")</f>
        <v/>
      </c>
      <c r="K81" s="52" t="str">
        <f>IF(AND('Mapa final'!$AB$80="Alta",'Mapa final'!$AD$80="Leve"),CONCATENATE("R26C",'Mapa final'!$R$80),"")</f>
        <v/>
      </c>
      <c r="L81" s="125" t="str">
        <f>IF(AND('Mapa final'!$AB$81="Alta",'Mapa final'!$AD$81="Leve"),CONCATENATE("R26C",'Mapa final'!$R$81),"")</f>
        <v/>
      </c>
      <c r="M81" s="51" t="str">
        <f>IF(AND('Mapa final'!$AB$79="Alta",'Mapa final'!$AD$79="Menor"),CONCATENATE("R26C",'Mapa final'!$R$79),"")</f>
        <v/>
      </c>
      <c r="N81" s="52" t="str">
        <f>IF(AND('Mapa final'!$AB$80="Alta",'Mapa final'!$AD$80="Menor"),CONCATENATE("R26C",'Mapa final'!$R$80),"")</f>
        <v/>
      </c>
      <c r="O81" s="52" t="str">
        <f>IF(AND('Mapa final'!$AB$81="Alta",'Mapa final'!$AD$81="Menor"),CONCATENATE("R26C",'Mapa final'!$R$81),"")</f>
        <v/>
      </c>
      <c r="P81" s="119" t="str">
        <f>IF(AND('Mapa final'!$AB$79="Alta",'Mapa final'!$AD$79="Moderado"),CONCATENATE("R26C",'Mapa final'!$R$79),"")</f>
        <v/>
      </c>
      <c r="Q81" s="44" t="str">
        <f>IF(AND('Mapa final'!$AB$80="Alta",'Mapa final'!$AD$80="Moderado"),CONCATENATE("R26C",'Mapa final'!$R$80),"")</f>
        <v/>
      </c>
      <c r="R81" s="120" t="str">
        <f>IF(AND('Mapa final'!$AB$81="Alta",'Mapa final'!$AD$81="Moderado"),CONCATENATE("R26C",'Mapa final'!$R$81),"")</f>
        <v/>
      </c>
      <c r="S81" s="119" t="str">
        <f>IF(AND('Mapa final'!$AB$79="Alta",'Mapa final'!$AD$79="Mayor"),CONCATENATE("R26C",'Mapa final'!$R$79),"")</f>
        <v/>
      </c>
      <c r="T81" s="44" t="str">
        <f>IF(AND('Mapa final'!$AB$80="Alta",'Mapa final'!$AD$80="Mayor"),CONCATENATE("R26C",'Mapa final'!$R$80),"")</f>
        <v/>
      </c>
      <c r="U81" s="120" t="str">
        <f>IF(AND('Mapa final'!$AB$81="Alta",'Mapa final'!$AD$81="Mayor"),CONCATENATE("R26C",'Mapa final'!$R$81),"")</f>
        <v/>
      </c>
      <c r="V81" s="45" t="str">
        <f>IF(AND('Mapa final'!$AB$79="Alta",'Mapa final'!$AD$79="Catastrófico"),CONCATENATE("R26C",'Mapa final'!$R$79),"")</f>
        <v/>
      </c>
      <c r="W81" s="46" t="str">
        <f>IF(AND('Mapa final'!$AB$80="Alta",'Mapa final'!$AD$80="Catastrófico"),CONCATENATE("R26C",'Mapa final'!$R$80),"")</f>
        <v/>
      </c>
      <c r="X81" s="114" t="str">
        <f>IF(AND('Mapa final'!$AB$81="Alta",'Mapa final'!$AD$81="Catastrófico"),CONCATENATE("R26C",'Mapa final'!$R$81),"")</f>
        <v/>
      </c>
      <c r="Y81" s="58"/>
      <c r="Z81" s="361"/>
      <c r="AA81" s="362"/>
      <c r="AB81" s="362"/>
      <c r="AC81" s="362"/>
      <c r="AD81" s="362"/>
      <c r="AE81" s="363"/>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row>
    <row r="82" spans="1:61" ht="15" customHeight="1" x14ac:dyDescent="0.25">
      <c r="A82" s="58"/>
      <c r="B82" s="356"/>
      <c r="C82" s="356"/>
      <c r="D82" s="357"/>
      <c r="E82" s="371"/>
      <c r="F82" s="372"/>
      <c r="G82" s="372"/>
      <c r="H82" s="372"/>
      <c r="I82" s="370"/>
      <c r="J82" s="51" t="str">
        <f>IF(AND('Mapa final'!$AB$82="Alta",'Mapa final'!$AD$82="Leve"),CONCATENATE("R27C",'Mapa final'!$R$82),"")</f>
        <v/>
      </c>
      <c r="K82" s="52" t="str">
        <f>IF(AND('Mapa final'!$AB$83="Alta",'Mapa final'!$AD$83="Leve"),CONCATENATE("R27C",'Mapa final'!$R$83),"")</f>
        <v/>
      </c>
      <c r="L82" s="125" t="str">
        <f>IF(AND('Mapa final'!$AB$84="Alta",'Mapa final'!$AD$84="Leve"),CONCATENATE("R27C",'Mapa final'!$R$84),"")</f>
        <v/>
      </c>
      <c r="M82" s="51" t="str">
        <f>IF(AND('Mapa final'!$AB$82="Alta",'Mapa final'!$AD$82="Menor"),CONCATENATE("R27C",'Mapa final'!$R$82),"")</f>
        <v/>
      </c>
      <c r="N82" s="52" t="str">
        <f>IF(AND('Mapa final'!$AB$83="Alta",'Mapa final'!$AD$83="Menor"),CONCATENATE("R27C",'Mapa final'!$R$83),"")</f>
        <v/>
      </c>
      <c r="O82" s="52" t="str">
        <f>IF(AND('Mapa final'!$AB$84="Alta",'Mapa final'!$AD$84="Menor"),CONCATENATE("R27C",'Mapa final'!$R$84),"")</f>
        <v/>
      </c>
      <c r="P82" s="119" t="str">
        <f>IF(AND('Mapa final'!$AB$82="Alta",'Mapa final'!$AD$82="Moderado"),CONCATENATE("R27C",'Mapa final'!$R$82),"")</f>
        <v/>
      </c>
      <c r="Q82" s="44" t="str">
        <f>IF(AND('Mapa final'!$AB$83="Alta",'Mapa final'!$AD$83="Moderado"),CONCATENATE("R27C",'Mapa final'!$R$83),"")</f>
        <v/>
      </c>
      <c r="R82" s="120" t="str">
        <f>IF(AND('Mapa final'!$AB$84="Alta",'Mapa final'!$AD$84="Moderado"),CONCATENATE("R27C",'Mapa final'!$R$84),"")</f>
        <v/>
      </c>
      <c r="S82" s="119" t="str">
        <f>IF(AND('Mapa final'!$AB$82="Alta",'Mapa final'!$AD$82="Mayor"),CONCATENATE("R27C",'Mapa final'!$R$82),"")</f>
        <v/>
      </c>
      <c r="T82" s="44" t="str">
        <f>IF(AND('Mapa final'!$AB$83="Alta",'Mapa final'!$AD$83="Mayor"),CONCATENATE("R27C",'Mapa final'!$R$83),"")</f>
        <v/>
      </c>
      <c r="U82" s="120" t="str">
        <f>IF(AND('Mapa final'!$AB$84="Alta",'Mapa final'!$AD$84="Mayor"),CONCATENATE("R27C",'Mapa final'!$R$84),"")</f>
        <v/>
      </c>
      <c r="V82" s="45" t="str">
        <f>IF(AND('Mapa final'!$AB$82="Alta",'Mapa final'!$AD$82="Catastrófico"),CONCATENATE("R27C",'Mapa final'!$R$82),"")</f>
        <v/>
      </c>
      <c r="W82" s="46" t="str">
        <f>IF(AND('Mapa final'!$AB$83="Alta",'Mapa final'!$AD$83="Catastrófico"),CONCATENATE("R27C",'Mapa final'!$R$83),"")</f>
        <v/>
      </c>
      <c r="X82" s="114" t="str">
        <f>IF(AND('Mapa final'!$AB$84="Alta",'Mapa final'!$AD$84="Catastrófico"),CONCATENATE("R27C",'Mapa final'!$R$84),"")</f>
        <v/>
      </c>
      <c r="Y82" s="58"/>
      <c r="Z82" s="361"/>
      <c r="AA82" s="362"/>
      <c r="AB82" s="362"/>
      <c r="AC82" s="362"/>
      <c r="AD82" s="362"/>
      <c r="AE82" s="363"/>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row>
    <row r="83" spans="1:61" ht="15" customHeight="1" x14ac:dyDescent="0.25">
      <c r="A83" s="58"/>
      <c r="B83" s="356"/>
      <c r="C83" s="356"/>
      <c r="D83" s="357"/>
      <c r="E83" s="371"/>
      <c r="F83" s="372"/>
      <c r="G83" s="372"/>
      <c r="H83" s="372"/>
      <c r="I83" s="370"/>
      <c r="J83" s="51" t="str">
        <f>IF(AND('Mapa final'!$AB$85="Alta",'Mapa final'!$AD$85="Leve"),CONCATENATE("R28C",'Mapa final'!$R$85),"")</f>
        <v/>
      </c>
      <c r="K83" s="52" t="str">
        <f>IF(AND('Mapa final'!$AB$86="Alta",'Mapa final'!$AD$86="Leve"),CONCATENATE("R28C",'Mapa final'!$R$86),"")</f>
        <v/>
      </c>
      <c r="L83" s="125" t="str">
        <f>IF(AND('Mapa final'!$AB$87="Alta",'Mapa final'!$AD$87="Leve"),CONCATENATE("R28C",'Mapa final'!$R$87),"")</f>
        <v/>
      </c>
      <c r="M83" s="51" t="str">
        <f>IF(AND('Mapa final'!$AB$85="Alta",'Mapa final'!$AD$85="Menor"),CONCATENATE("R28C",'Mapa final'!$R$85),"")</f>
        <v/>
      </c>
      <c r="N83" s="52" t="str">
        <f>IF(AND('Mapa final'!$AB$86="Alta",'Mapa final'!$AD$86="Menor"),CONCATENATE("R28C",'Mapa final'!$R$86),"")</f>
        <v/>
      </c>
      <c r="O83" s="52" t="str">
        <f>IF(AND('Mapa final'!$AB$87="Alta",'Mapa final'!$AD$87="Menor"),CONCATENATE("R28C",'Mapa final'!$R$87),"")</f>
        <v/>
      </c>
      <c r="P83" s="119" t="str">
        <f>IF(AND('Mapa final'!$AB$85="Alta",'Mapa final'!$AD$85="Moderado"),CONCATENATE("R28C",'Mapa final'!$R$85),"")</f>
        <v/>
      </c>
      <c r="Q83" s="44" t="str">
        <f>IF(AND('Mapa final'!$AB$86="Alta",'Mapa final'!$AD$86="Moderado"),CONCATENATE("R28C",'Mapa final'!$R$86),"")</f>
        <v/>
      </c>
      <c r="R83" s="120" t="str">
        <f>IF(AND('Mapa final'!$AB$87="Alta",'Mapa final'!$AD$87="Moderado"),CONCATENATE("R28C",'Mapa final'!$R$87),"")</f>
        <v/>
      </c>
      <c r="S83" s="119" t="str">
        <f>IF(AND('Mapa final'!$AB$85="Alta",'Mapa final'!$AD$85="Mayor"),CONCATENATE("R28C",'Mapa final'!$R$85),"")</f>
        <v/>
      </c>
      <c r="T83" s="44" t="str">
        <f>IF(AND('Mapa final'!$AB$86="Alta",'Mapa final'!$AD$86="Mayor"),CONCATENATE("R28C",'Mapa final'!$R$86),"")</f>
        <v/>
      </c>
      <c r="U83" s="120" t="str">
        <f>IF(AND('Mapa final'!$AB$87="Alta",'Mapa final'!$AD$87="Mayor"),CONCATENATE("R28C",'Mapa final'!$R$87),"")</f>
        <v/>
      </c>
      <c r="V83" s="45" t="str">
        <f>IF(AND('Mapa final'!$AB$85="Alta",'Mapa final'!$AD$85="Catastrófico"),CONCATENATE("R28C",'Mapa final'!$R$85),"")</f>
        <v/>
      </c>
      <c r="W83" s="46" t="str">
        <f>IF(AND('Mapa final'!$AB$86="Alta",'Mapa final'!$AD$86="Catastrófico"),CONCATENATE("R28C",'Mapa final'!$R$86),"")</f>
        <v/>
      </c>
      <c r="X83" s="114" t="str">
        <f>IF(AND('Mapa final'!$AB$87="Alta",'Mapa final'!$AD$87="Catastrófico"),CONCATENATE("R28C",'Mapa final'!$R$87),"")</f>
        <v/>
      </c>
      <c r="Y83" s="58"/>
      <c r="Z83" s="361"/>
      <c r="AA83" s="362"/>
      <c r="AB83" s="362"/>
      <c r="AC83" s="362"/>
      <c r="AD83" s="362"/>
      <c r="AE83" s="363"/>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row>
    <row r="84" spans="1:61" ht="15" customHeight="1" x14ac:dyDescent="0.25">
      <c r="A84" s="58"/>
      <c r="B84" s="356"/>
      <c r="C84" s="356"/>
      <c r="D84" s="357"/>
      <c r="E84" s="371"/>
      <c r="F84" s="372"/>
      <c r="G84" s="372"/>
      <c r="H84" s="372"/>
      <c r="I84" s="370"/>
      <c r="J84" s="51" t="str">
        <f>IF(AND('Mapa final'!$AB$88="Alta",'Mapa final'!$AD$88="Leve"),CONCATENATE("R29C",'Mapa final'!$R$88),"")</f>
        <v/>
      </c>
      <c r="K84" s="52" t="str">
        <f>IF(AND('Mapa final'!$AB$89="Alta",'Mapa final'!$AD$89="Leve"),CONCATENATE("R29C",'Mapa final'!$R$89),"")</f>
        <v/>
      </c>
      <c r="L84" s="125" t="str">
        <f>IF(AND('Mapa final'!$AB$90="Alta",'Mapa final'!$AD$90="Leve"),CONCATENATE("R30C",'Mapa final'!$R$90),"")</f>
        <v/>
      </c>
      <c r="M84" s="51" t="str">
        <f>IF(AND('Mapa final'!$AB$88="Alta",'Mapa final'!$AD$88="Menor"),CONCATENATE("R29C",'Mapa final'!$R$88),"")</f>
        <v/>
      </c>
      <c r="N84" s="52" t="str">
        <f>IF(AND('Mapa final'!$AB$89="Alta",'Mapa final'!$AD$89="Menor"),CONCATENATE("R29C",'Mapa final'!$R$89),"")</f>
        <v/>
      </c>
      <c r="O84" s="52" t="str">
        <f>IF(AND('Mapa final'!$AB$90="Alta",'Mapa final'!$AD$90="Menor"),CONCATENATE("R30C",'Mapa final'!$R$90),"")</f>
        <v/>
      </c>
      <c r="P84" s="119" t="str">
        <f>IF(AND('Mapa final'!$AB$88="Alta",'Mapa final'!$AD$88="Moderado"),CONCATENATE("R29C",'Mapa final'!$R$88),"")</f>
        <v/>
      </c>
      <c r="Q84" s="44" t="str">
        <f>IF(AND('Mapa final'!$AB$89="Alta",'Mapa final'!$AD$89="Moderado"),CONCATENATE("R29C",'Mapa final'!$R$89),"")</f>
        <v/>
      </c>
      <c r="R84" s="120" t="str">
        <f>IF(AND('Mapa final'!$AB$90="Alta",'Mapa final'!$AD$90="Moderado"),CONCATENATE("R30C",'Mapa final'!$R$90),"")</f>
        <v/>
      </c>
      <c r="S84" s="119" t="str">
        <f>IF(AND('Mapa final'!$AB$88="Alta",'Mapa final'!$AD$88="Mayor"),CONCATENATE("R29C",'Mapa final'!$R$88),"")</f>
        <v/>
      </c>
      <c r="T84" s="44" t="str">
        <f>IF(AND('Mapa final'!$AB$89="Alta",'Mapa final'!$AD$89="Mayor"),CONCATENATE("R29C",'Mapa final'!$R$89),"")</f>
        <v/>
      </c>
      <c r="U84" s="120" t="str">
        <f>IF(AND('Mapa final'!$AB$90="Alta",'Mapa final'!$AD$90="Mayor"),CONCATENATE("R30C",'Mapa final'!$R$90),"")</f>
        <v/>
      </c>
      <c r="V84" s="45" t="str">
        <f>IF(AND('Mapa final'!$AB$88="Alta",'Mapa final'!$AD$88="Catastrófico"),CONCATENATE("R29C",'Mapa final'!$R$88),"")</f>
        <v/>
      </c>
      <c r="W84" s="46" t="str">
        <f>IF(AND('Mapa final'!$AB$89="Alta",'Mapa final'!$AD$89="Catastrófico"),CONCATENATE("R29C",'Mapa final'!$R$89),"")</f>
        <v/>
      </c>
      <c r="X84" s="114" t="str">
        <f>IF(AND('Mapa final'!$AB$90="Alta",'Mapa final'!$AD$90="Catastrófico"),CONCATENATE("R30C",'Mapa final'!$R$90),"")</f>
        <v/>
      </c>
      <c r="Y84" s="58"/>
      <c r="Z84" s="361"/>
      <c r="AA84" s="362"/>
      <c r="AB84" s="362"/>
      <c r="AC84" s="362"/>
      <c r="AD84" s="362"/>
      <c r="AE84" s="363"/>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row>
    <row r="85" spans="1:61" ht="15" customHeight="1" x14ac:dyDescent="0.25">
      <c r="A85" s="58"/>
      <c r="B85" s="356"/>
      <c r="C85" s="356"/>
      <c r="D85" s="357"/>
      <c r="E85" s="371"/>
      <c r="F85" s="372"/>
      <c r="G85" s="372"/>
      <c r="H85" s="372"/>
      <c r="I85" s="370"/>
      <c r="J85" s="51" t="str">
        <f>IF(AND('Mapa final'!$AB$91="Alta",'Mapa final'!$AD$91="Leve"),CONCATENATE("R30C",'Mapa final'!$R$91),"")</f>
        <v/>
      </c>
      <c r="K85" s="52" t="str">
        <f>IF(AND('Mapa final'!$AB$92="Alta",'Mapa final'!$AD$92="Leve"),CONCATENATE("R30C",'Mapa final'!$R$92),"")</f>
        <v/>
      </c>
      <c r="L85" s="125" t="str">
        <f>IF(AND('Mapa final'!$AB$93="Alta",'Mapa final'!$AD$93="Leve"),CONCATENATE("R31C",'Mapa final'!$R$93),"")</f>
        <v/>
      </c>
      <c r="M85" s="51" t="str">
        <f>IF(AND('Mapa final'!$AB$91="Alta",'Mapa final'!$AD$91="Menor"),CONCATENATE("R30C",'Mapa final'!$R$91),"")</f>
        <v/>
      </c>
      <c r="N85" s="52" t="str">
        <f>IF(AND('Mapa final'!$AB$92="Alta",'Mapa final'!$AD$92="Menor"),CONCATENATE("R30C",'Mapa final'!$R$92),"")</f>
        <v/>
      </c>
      <c r="O85" s="52" t="str">
        <f>IF(AND('Mapa final'!$AB$93="Alta",'Mapa final'!$AD$93="Menor"),CONCATENATE("R31C",'Mapa final'!$R$93),"")</f>
        <v/>
      </c>
      <c r="P85" s="119" t="str">
        <f>IF(AND('Mapa final'!$AB$91="Alta",'Mapa final'!$AD$91="Moderado"),CONCATENATE("R30C",'Mapa final'!$R$91),"")</f>
        <v/>
      </c>
      <c r="Q85" s="44" t="str">
        <f>IF(AND('Mapa final'!$AB$92="Alta",'Mapa final'!$AD$92="Moderado"),CONCATENATE("R30C",'Mapa final'!$R$92),"")</f>
        <v/>
      </c>
      <c r="R85" s="120" t="str">
        <f>IF(AND('Mapa final'!$AB$93="Alta",'Mapa final'!$AD$93="Moderado"),CONCATENATE("R31C",'Mapa final'!$R$93),"")</f>
        <v/>
      </c>
      <c r="S85" s="119" t="str">
        <f>IF(AND('Mapa final'!$AB$91="Alta",'Mapa final'!$AD$91="Mayor"),CONCATENATE("R30C",'Mapa final'!$R$91),"")</f>
        <v/>
      </c>
      <c r="T85" s="44" t="str">
        <f>IF(AND('Mapa final'!$AB$92="Alta",'Mapa final'!$AD$92="Mayor"),CONCATENATE("R30C",'Mapa final'!$R$92),"")</f>
        <v/>
      </c>
      <c r="U85" s="120" t="str">
        <f>IF(AND('Mapa final'!$AB$93="Alta",'Mapa final'!$AD$93="Mayor"),CONCATENATE("R31C",'Mapa final'!$R$93),"")</f>
        <v/>
      </c>
      <c r="V85" s="45" t="str">
        <f>IF(AND('Mapa final'!$AB$91="Alta",'Mapa final'!$AD$91="Catastrófico"),CONCATENATE("R30C",'Mapa final'!$R$91),"")</f>
        <v/>
      </c>
      <c r="W85" s="46" t="str">
        <f>IF(AND('Mapa final'!$AB$92="Alta",'Mapa final'!$AD$92="Catastrófico"),CONCATENATE("R30C",'Mapa final'!$R$92),"")</f>
        <v/>
      </c>
      <c r="X85" s="114" t="str">
        <f>IF(AND('Mapa final'!$AB$93="Alta",'Mapa final'!$AD$93="Catastrófico"),CONCATENATE("R31C",'Mapa final'!$R$93),"")</f>
        <v/>
      </c>
      <c r="Y85" s="58"/>
      <c r="Z85" s="361"/>
      <c r="AA85" s="362"/>
      <c r="AB85" s="362"/>
      <c r="AC85" s="362"/>
      <c r="AD85" s="362"/>
      <c r="AE85" s="363"/>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row>
    <row r="86" spans="1:61" ht="15" customHeight="1" x14ac:dyDescent="0.25">
      <c r="A86" s="58"/>
      <c r="B86" s="356"/>
      <c r="C86" s="356"/>
      <c r="D86" s="357"/>
      <c r="E86" s="371"/>
      <c r="F86" s="372"/>
      <c r="G86" s="372"/>
      <c r="H86" s="372"/>
      <c r="I86" s="370"/>
      <c r="J86" s="51" t="str">
        <f>IF(AND('Mapa final'!$AB$94="Alta",'Mapa final'!$AD$94="Leve"),CONCATENATE("R31C",'Mapa final'!$R$94),"")</f>
        <v/>
      </c>
      <c r="K86" s="52" t="str">
        <f>IF(AND('Mapa final'!$AB$95="Alta",'Mapa final'!$AD$95="Leve"),CONCATENATE("R31C",'Mapa final'!$R$95),"")</f>
        <v/>
      </c>
      <c r="L86" s="125" t="str">
        <f>IF(AND('Mapa final'!$AB$96="Alta",'Mapa final'!$AD$96="Leve"),CONCATENATE("R32C",'Mapa final'!$R$96),"")</f>
        <v/>
      </c>
      <c r="M86" s="51" t="str">
        <f>IF(AND('Mapa final'!$AB$94="Alta",'Mapa final'!$AD$94="Menor"),CONCATENATE("R31C",'Mapa final'!$R$94),"")</f>
        <v/>
      </c>
      <c r="N86" s="52" t="str">
        <f>IF(AND('Mapa final'!$AB$95="Alta",'Mapa final'!$AD$95="Menor"),CONCATENATE("R31C",'Mapa final'!$R$95),"")</f>
        <v/>
      </c>
      <c r="O86" s="52" t="str">
        <f>IF(AND('Mapa final'!$AB$96="Alta",'Mapa final'!$AD$96="Menor"),CONCATENATE("R32C",'Mapa final'!$R$96),"")</f>
        <v/>
      </c>
      <c r="P86" s="119" t="str">
        <f>IF(AND('Mapa final'!$AB$94="Alta",'Mapa final'!$AD$94="Moderado"),CONCATENATE("R31C",'Mapa final'!$R$94),"")</f>
        <v/>
      </c>
      <c r="Q86" s="44" t="str">
        <f>IF(AND('Mapa final'!$AB$95="Alta",'Mapa final'!$AD$95="Moderado"),CONCATENATE("R31C",'Mapa final'!$R$95),"")</f>
        <v/>
      </c>
      <c r="R86" s="120" t="str">
        <f>IF(AND('Mapa final'!$AB$96="Alta",'Mapa final'!$AD$96="Moderado"),CONCATENATE("R32C",'Mapa final'!$R$96),"")</f>
        <v/>
      </c>
      <c r="S86" s="119" t="str">
        <f>IF(AND('Mapa final'!$AB$94="Alta",'Mapa final'!$AD$94="Mayor"),CONCATENATE("R31C",'Mapa final'!$R$94),"")</f>
        <v/>
      </c>
      <c r="T86" s="44" t="str">
        <f>IF(AND('Mapa final'!$AB$95="Alta",'Mapa final'!$AD$95="Mayor"),CONCATENATE("R31C",'Mapa final'!$R$95),"")</f>
        <v/>
      </c>
      <c r="U86" s="120" t="str">
        <f>IF(AND('Mapa final'!$AB$96="Alta",'Mapa final'!$AD$96="Mayor"),CONCATENATE("R32C",'Mapa final'!$R$96),"")</f>
        <v/>
      </c>
      <c r="V86" s="45" t="str">
        <f>IF(AND('Mapa final'!$AB$94="Alta",'Mapa final'!$AD$94="Catastrófico"),CONCATENATE("R31C",'Mapa final'!$R$94),"")</f>
        <v/>
      </c>
      <c r="W86" s="46" t="str">
        <f>IF(AND('Mapa final'!$AB$95="Alta",'Mapa final'!$AD$95="Catastrófico"),CONCATENATE("R31C",'Mapa final'!$R$95),"")</f>
        <v/>
      </c>
      <c r="X86" s="114" t="str">
        <f>IF(AND('Mapa final'!$AB$96="Alta",'Mapa final'!$AD$96="Catastrófico"),CONCATENATE("R32C",'Mapa final'!$R$96),"")</f>
        <v/>
      </c>
      <c r="Y86" s="58"/>
      <c r="Z86" s="361"/>
      <c r="AA86" s="362"/>
      <c r="AB86" s="362"/>
      <c r="AC86" s="362"/>
      <c r="AD86" s="362"/>
      <c r="AE86" s="363"/>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row>
    <row r="87" spans="1:61" ht="15" customHeight="1" x14ac:dyDescent="0.25">
      <c r="A87" s="58"/>
      <c r="B87" s="356"/>
      <c r="C87" s="356"/>
      <c r="D87" s="357"/>
      <c r="E87" s="371"/>
      <c r="F87" s="372"/>
      <c r="G87" s="372"/>
      <c r="H87" s="372"/>
      <c r="I87" s="370"/>
      <c r="J87" s="51" t="str">
        <f>IF(AND('Mapa final'!$AB$97="Alta",'Mapa final'!$AD$97="Leve"),CONCATENATE("R32C",'Mapa final'!$R$97),"")</f>
        <v/>
      </c>
      <c r="K87" s="52" t="str">
        <f>IF(AND('Mapa final'!$AB$98="Alta",'Mapa final'!$AD$98="Leve"),CONCATENATE("R32C",'Mapa final'!$R$98),"")</f>
        <v/>
      </c>
      <c r="L87" s="125" t="str">
        <f>IF(AND('Mapa final'!$AB$99="Alta",'Mapa final'!$AD$99="Leve"),CONCATENATE("R33C",'Mapa final'!$R$99),"")</f>
        <v/>
      </c>
      <c r="M87" s="51" t="str">
        <f>IF(AND('Mapa final'!$AB$97="Alta",'Mapa final'!$AD$97="Menor"),CONCATENATE("R32C",'Mapa final'!$R$97),"")</f>
        <v/>
      </c>
      <c r="N87" s="52" t="str">
        <f>IF(AND('Mapa final'!$AB$98="Alta",'Mapa final'!$AD$98="Menor"),CONCATENATE("R32C",'Mapa final'!$R$98),"")</f>
        <v/>
      </c>
      <c r="O87" s="52" t="str">
        <f>IF(AND('Mapa final'!$AB$99="Alta",'Mapa final'!$AD$99="Menor"),CONCATENATE("R33C",'Mapa final'!$R$99),"")</f>
        <v/>
      </c>
      <c r="P87" s="119" t="str">
        <f>IF(AND('Mapa final'!$AB$97="Alta",'Mapa final'!$AD$97="Moderado"),CONCATENATE("R32C",'Mapa final'!$R$97),"")</f>
        <v/>
      </c>
      <c r="Q87" s="44" t="str">
        <f>IF(AND('Mapa final'!$AB$98="Alta",'Mapa final'!$AD$98="Moderado"),CONCATENATE("R32C",'Mapa final'!$R$98),"")</f>
        <v/>
      </c>
      <c r="R87" s="120" t="str">
        <f>IF(AND('Mapa final'!$AB$99="Alta",'Mapa final'!$AD$99="Moderado"),CONCATENATE("R33C",'Mapa final'!$R$99),"")</f>
        <v/>
      </c>
      <c r="S87" s="119" t="str">
        <f>IF(AND('Mapa final'!$AB$97="Alta",'Mapa final'!$AD$97="Mayor"),CONCATENATE("R32C",'Mapa final'!$R$97),"")</f>
        <v/>
      </c>
      <c r="T87" s="44" t="str">
        <f>IF(AND('Mapa final'!$AB$98="Alta",'Mapa final'!$AD$98="Mayor"),CONCATENATE("R32C",'Mapa final'!$R$98),"")</f>
        <v/>
      </c>
      <c r="U87" s="120" t="str">
        <f>IF(AND('Mapa final'!$AB$99="Alta",'Mapa final'!$AD$99="Mayor"),CONCATENATE("R33C",'Mapa final'!$R$99),"")</f>
        <v/>
      </c>
      <c r="V87" s="45" t="str">
        <f>IF(AND('Mapa final'!$AB$97="Alta",'Mapa final'!$AD$97="Catastrófico"),CONCATENATE("R32C",'Mapa final'!$R$97),"")</f>
        <v/>
      </c>
      <c r="W87" s="46" t="str">
        <f>IF(AND('Mapa final'!$AB$98="Alta",'Mapa final'!$AD$98="Catastrófico"),CONCATENATE("R32C",'Mapa final'!$R$98),"")</f>
        <v/>
      </c>
      <c r="X87" s="114" t="str">
        <f>IF(AND('Mapa final'!$AB$99="Alta",'Mapa final'!$AD$99="Catastrófico"),CONCATENATE("R33C",'Mapa final'!$R$99),"")</f>
        <v/>
      </c>
      <c r="Y87" s="58"/>
      <c r="Z87" s="361"/>
      <c r="AA87" s="362"/>
      <c r="AB87" s="362"/>
      <c r="AC87" s="362"/>
      <c r="AD87" s="362"/>
      <c r="AE87" s="363"/>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row>
    <row r="88" spans="1:61" ht="15" customHeight="1" x14ac:dyDescent="0.25">
      <c r="A88" s="58"/>
      <c r="B88" s="356"/>
      <c r="C88" s="356"/>
      <c r="D88" s="357"/>
      <c r="E88" s="371"/>
      <c r="F88" s="372"/>
      <c r="G88" s="372"/>
      <c r="H88" s="372"/>
      <c r="I88" s="370"/>
      <c r="J88" s="51" t="str">
        <f>IF(AND('Mapa final'!$AB$100="Alta",'Mapa final'!$AD$100="Leve"),CONCATENATE("R33C",'Mapa final'!$R$100),"")</f>
        <v/>
      </c>
      <c r="K88" s="52" t="str">
        <f>IF(AND('Mapa final'!$AB$101="Alta",'Mapa final'!$AD$101="Leve"),CONCATENATE("R33C",'Mapa final'!$R$101),"")</f>
        <v/>
      </c>
      <c r="L88" s="125" t="str">
        <f>IF(AND('Mapa final'!$AB$102="Alta",'Mapa final'!$AD$102="Leve"),CONCATENATE("R34C",'Mapa final'!$R$102),"")</f>
        <v/>
      </c>
      <c r="M88" s="51" t="str">
        <f>IF(AND('Mapa final'!$AB$100="Alta",'Mapa final'!$AD$100="Menor"),CONCATENATE("R33C",'Mapa final'!$R$100),"")</f>
        <v/>
      </c>
      <c r="N88" s="52" t="str">
        <f>IF(AND('Mapa final'!$AB$101="Alta",'Mapa final'!$AD$101="Menor"),CONCATENATE("R33C",'Mapa final'!$R$101),"")</f>
        <v/>
      </c>
      <c r="O88" s="52" t="str">
        <f>IF(AND('Mapa final'!$AB$102="Alta",'Mapa final'!$AD$102="Menor"),CONCATENATE("R34C",'Mapa final'!$R$102),"")</f>
        <v/>
      </c>
      <c r="P88" s="119" t="str">
        <f>IF(AND('Mapa final'!$AB$100="Alta",'Mapa final'!$AD$100="Moderado"),CONCATENATE("R33C",'Mapa final'!$R$100),"")</f>
        <v/>
      </c>
      <c r="Q88" s="44" t="str">
        <f>IF(AND('Mapa final'!$AB$101="Alta",'Mapa final'!$AD$101="Moderado"),CONCATENATE("R33C",'Mapa final'!$R$101),"")</f>
        <v/>
      </c>
      <c r="R88" s="120" t="str">
        <f>IF(AND('Mapa final'!$AB$102="Alta",'Mapa final'!$AD$102="Moderado"),CONCATENATE("R34C",'Mapa final'!$R$102),"")</f>
        <v/>
      </c>
      <c r="S88" s="119" t="str">
        <f>IF(AND('Mapa final'!$AB$100="Alta",'Mapa final'!$AD$100="Mayor"),CONCATENATE("R33C",'Mapa final'!$R$100),"")</f>
        <v/>
      </c>
      <c r="T88" s="44" t="str">
        <f>IF(AND('Mapa final'!$AB$101="Alta",'Mapa final'!$AD$101="Mayor"),CONCATENATE("R33C",'Mapa final'!$R$101),"")</f>
        <v/>
      </c>
      <c r="U88" s="120" t="str">
        <f>IF(AND('Mapa final'!$AB$102="Alta",'Mapa final'!$AD$102="Mayor"),CONCATENATE("R34C",'Mapa final'!$R$102),"")</f>
        <v/>
      </c>
      <c r="V88" s="45" t="str">
        <f>IF(AND('Mapa final'!$AB$100="Alta",'Mapa final'!$AD$100="Catastrófico"),CONCATENATE("R33C",'Mapa final'!$R$100),"")</f>
        <v/>
      </c>
      <c r="W88" s="46" t="str">
        <f>IF(AND('Mapa final'!$AB$101="Alta",'Mapa final'!$AD$101="Catastrófico"),CONCATENATE("R33C",'Mapa final'!$R$101),"")</f>
        <v/>
      </c>
      <c r="X88" s="114" t="str">
        <f>IF(AND('Mapa final'!$AB$102="Alta",'Mapa final'!$AD$102="Catastrófico"),CONCATENATE("R34C",'Mapa final'!$R$102),"")</f>
        <v/>
      </c>
      <c r="Y88" s="58"/>
      <c r="Z88" s="361"/>
      <c r="AA88" s="362"/>
      <c r="AB88" s="362"/>
      <c r="AC88" s="362"/>
      <c r="AD88" s="362"/>
      <c r="AE88" s="363"/>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row>
    <row r="89" spans="1:61" ht="15" customHeight="1" x14ac:dyDescent="0.25">
      <c r="A89" s="58"/>
      <c r="B89" s="356"/>
      <c r="C89" s="356"/>
      <c r="D89" s="357"/>
      <c r="E89" s="371"/>
      <c r="F89" s="372"/>
      <c r="G89" s="372"/>
      <c r="H89" s="372"/>
      <c r="I89" s="370"/>
      <c r="J89" s="51" t="str">
        <f>IF(AND('Mapa final'!$AB$103="Alta",'Mapa final'!$AD$103="Leve"),CONCATENATE("R34C",'Mapa final'!$R$103),"")</f>
        <v/>
      </c>
      <c r="K89" s="52" t="str">
        <f>IF(AND('Mapa final'!$AB$104="Alta",'Mapa final'!$AD$104="Leve"),CONCATENATE("R34C",'Mapa final'!$R$104),"")</f>
        <v/>
      </c>
      <c r="L89" s="125" t="str">
        <f>IF(AND('Mapa final'!$AB$105="Alta",'Mapa final'!$AD$105="Leve"),CONCATENATE("R35C",'Mapa final'!$R$105),"")</f>
        <v/>
      </c>
      <c r="M89" s="51" t="str">
        <f>IF(AND('Mapa final'!$AB$103="Alta",'Mapa final'!$AD$103="Menor"),CONCATENATE("R34C",'Mapa final'!$R$103),"")</f>
        <v/>
      </c>
      <c r="N89" s="52" t="str">
        <f>IF(AND('Mapa final'!$AB$104="Alta",'Mapa final'!$AD$104="Menor"),CONCATENATE("R34C",'Mapa final'!$R$104),"")</f>
        <v/>
      </c>
      <c r="O89" s="52" t="str">
        <f>IF(AND('Mapa final'!$AB$105="Alta",'Mapa final'!$AD$105="Menor"),CONCATENATE("R35C",'Mapa final'!$R$105),"")</f>
        <v/>
      </c>
      <c r="P89" s="119" t="str">
        <f>IF(AND('Mapa final'!$AB$103="Alta",'Mapa final'!$AD$103="Moderado"),CONCATENATE("R34C",'Mapa final'!$R$103),"")</f>
        <v/>
      </c>
      <c r="Q89" s="44" t="str">
        <f>IF(AND('Mapa final'!$AB$104="Alta",'Mapa final'!$AD$104="Moderado"),CONCATENATE("R34C",'Mapa final'!$R$104),"")</f>
        <v/>
      </c>
      <c r="R89" s="120" t="str">
        <f>IF(AND('Mapa final'!$AB$105="Alta",'Mapa final'!$AD$105="Moderado"),CONCATENATE("R35C",'Mapa final'!$R$105),"")</f>
        <v/>
      </c>
      <c r="S89" s="119" t="str">
        <f>IF(AND('Mapa final'!$AB$103="Alta",'Mapa final'!$AD$103="Mayor"),CONCATENATE("R34C",'Mapa final'!$R$103),"")</f>
        <v/>
      </c>
      <c r="T89" s="44" t="str">
        <f>IF(AND('Mapa final'!$AB$104="Alta",'Mapa final'!$AD$104="Mayor"),CONCATENATE("R34C",'Mapa final'!$R$104),"")</f>
        <v/>
      </c>
      <c r="U89" s="120" t="str">
        <f>IF(AND('Mapa final'!$AB$105="Alta",'Mapa final'!$AD$105="Mayor"),CONCATENATE("R35C",'Mapa final'!$R$105),"")</f>
        <v/>
      </c>
      <c r="V89" s="45" t="str">
        <f>IF(AND('Mapa final'!$AB$103="Alta",'Mapa final'!$AD$103="Catastrófico"),CONCATENATE("R34C",'Mapa final'!$R$103),"")</f>
        <v/>
      </c>
      <c r="W89" s="46" t="str">
        <f>IF(AND('Mapa final'!$AB$104="Alta",'Mapa final'!$AD$104="Catastrófico"),CONCATENATE("R34C",'Mapa final'!$R$104),"")</f>
        <v/>
      </c>
      <c r="X89" s="114" t="str">
        <f>IF(AND('Mapa final'!$AB$105="Alta",'Mapa final'!$AD$105="Catastrófico"),CONCATENATE("R35C",'Mapa final'!$R$105),"")</f>
        <v/>
      </c>
      <c r="Y89" s="58"/>
      <c r="Z89" s="361"/>
      <c r="AA89" s="362"/>
      <c r="AB89" s="362"/>
      <c r="AC89" s="362"/>
      <c r="AD89" s="362"/>
      <c r="AE89" s="363"/>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row>
    <row r="90" spans="1:61" ht="15" customHeight="1" x14ac:dyDescent="0.25">
      <c r="A90" s="58"/>
      <c r="B90" s="356"/>
      <c r="C90" s="356"/>
      <c r="D90" s="357"/>
      <c r="E90" s="371"/>
      <c r="F90" s="372"/>
      <c r="G90" s="372"/>
      <c r="H90" s="372"/>
      <c r="I90" s="370"/>
      <c r="J90" s="51" t="str">
        <f>IF(AND('Mapa final'!$AB$106="Alta",'Mapa final'!$AD$106="Leve"),CONCATENATE("R35C",'Mapa final'!$R$106),"")</f>
        <v/>
      </c>
      <c r="K90" s="52" t="str">
        <f>IF(AND('Mapa final'!$AB$107="Alta",'Mapa final'!$AD$107="Leve"),CONCATENATE("R35C",'Mapa final'!$R$107),"")</f>
        <v/>
      </c>
      <c r="L90" s="125" t="str">
        <f>IF(AND('Mapa final'!$AB$108="Alta",'Mapa final'!$AD$108="Leve"),CONCATENATE("R36C",'Mapa final'!$R$108),"")</f>
        <v/>
      </c>
      <c r="M90" s="51" t="str">
        <f>IF(AND('Mapa final'!$AB$106="Alta",'Mapa final'!$AD$106="Menor"),CONCATENATE("R35C",'Mapa final'!$R$106),"")</f>
        <v/>
      </c>
      <c r="N90" s="52" t="str">
        <f>IF(AND('Mapa final'!$AB$107="Alta",'Mapa final'!$AD$107="Menor"),CONCATENATE("R35C",'Mapa final'!$R$107),"")</f>
        <v/>
      </c>
      <c r="O90" s="52" t="str">
        <f>IF(AND('Mapa final'!$AB$108="Alta",'Mapa final'!$AD$108="Menor"),CONCATENATE("R36C",'Mapa final'!$R$108),"")</f>
        <v/>
      </c>
      <c r="P90" s="119" t="str">
        <f>IF(AND('Mapa final'!$AB$106="Alta",'Mapa final'!$AD$106="Moderado"),CONCATENATE("R35C",'Mapa final'!$R$106),"")</f>
        <v/>
      </c>
      <c r="Q90" s="44" t="str">
        <f>IF(AND('Mapa final'!$AB$107="Alta",'Mapa final'!$AD$107="Moderado"),CONCATENATE("R35C",'Mapa final'!$R$107),"")</f>
        <v/>
      </c>
      <c r="R90" s="120" t="str">
        <f>IF(AND('Mapa final'!$AB$108="Alta",'Mapa final'!$AD$108="Moderado"),CONCATENATE("R36C",'Mapa final'!$R$108),"")</f>
        <v/>
      </c>
      <c r="S90" s="119" t="str">
        <f>IF(AND('Mapa final'!$AB$106="Alta",'Mapa final'!$AD$106="Mayor"),CONCATENATE("R35C",'Mapa final'!$R$106),"")</f>
        <v/>
      </c>
      <c r="T90" s="44" t="str">
        <f>IF(AND('Mapa final'!$AB$107="Alta",'Mapa final'!$AD$107="Mayor"),CONCATENATE("R35C",'Mapa final'!$R$107),"")</f>
        <v/>
      </c>
      <c r="U90" s="120" t="str">
        <f>IF(AND('Mapa final'!$AB$108="Alta",'Mapa final'!$AD$108="Mayor"),CONCATENATE("R36C",'Mapa final'!$R$108),"")</f>
        <v/>
      </c>
      <c r="V90" s="45" t="str">
        <f>IF(AND('Mapa final'!$AB$106="Alta",'Mapa final'!$AD$106="Catastrófico"),CONCATENATE("R35C",'Mapa final'!$R$106),"")</f>
        <v/>
      </c>
      <c r="W90" s="46" t="str">
        <f>IF(AND('Mapa final'!$AB$107="Alta",'Mapa final'!$AD$107="Catastrófico"),CONCATENATE("R35C",'Mapa final'!$R$107),"")</f>
        <v/>
      </c>
      <c r="X90" s="114" t="str">
        <f>IF(AND('Mapa final'!$AB$108="Alta",'Mapa final'!$AD$108="Catastrófico"),CONCATENATE("R36C",'Mapa final'!$R$108),"")</f>
        <v/>
      </c>
      <c r="Y90" s="58"/>
      <c r="Z90" s="361"/>
      <c r="AA90" s="362"/>
      <c r="AB90" s="362"/>
      <c r="AC90" s="362"/>
      <c r="AD90" s="362"/>
      <c r="AE90" s="363"/>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row>
    <row r="91" spans="1:61" ht="15" customHeight="1" x14ac:dyDescent="0.25">
      <c r="A91" s="58"/>
      <c r="B91" s="356"/>
      <c r="C91" s="356"/>
      <c r="D91" s="357"/>
      <c r="E91" s="371"/>
      <c r="F91" s="372"/>
      <c r="G91" s="372"/>
      <c r="H91" s="372"/>
      <c r="I91" s="370"/>
      <c r="J91" s="51" t="str">
        <f>IF(AND('Mapa final'!$AB$109="Alta",'Mapa final'!$AD$109="Leve"),CONCATENATE("R36C",'Mapa final'!$R$109),"")</f>
        <v/>
      </c>
      <c r="K91" s="52" t="str">
        <f>IF(AND('Mapa final'!$AB$110="Alta",'Mapa final'!$AD$110="Leve"),CONCATENATE("R36C",'Mapa final'!$R$110),"")</f>
        <v/>
      </c>
      <c r="L91" s="125" t="str">
        <f>IF(AND('Mapa final'!$AB$111="Alta",'Mapa final'!$AD$111="Leve"),CONCATENATE("R37C",'Mapa final'!$R$111),"")</f>
        <v/>
      </c>
      <c r="M91" s="51" t="str">
        <f>IF(AND('Mapa final'!$AB$109="Alta",'Mapa final'!$AD$109="Menor"),CONCATENATE("R36C",'Mapa final'!$R$109),"")</f>
        <v/>
      </c>
      <c r="N91" s="52" t="str">
        <f>IF(AND('Mapa final'!$AB$110="Alta",'Mapa final'!$AD$110="Menor"),CONCATENATE("R36C",'Mapa final'!$R$110),"")</f>
        <v/>
      </c>
      <c r="O91" s="52" t="str">
        <f>IF(AND('Mapa final'!$AB$111="Alta",'Mapa final'!$AD$111="Menor"),CONCATENATE("R37C",'Mapa final'!$R$111),"")</f>
        <v/>
      </c>
      <c r="P91" s="119" t="str">
        <f>IF(AND('Mapa final'!$AB$109="Alta",'Mapa final'!$AD$109="Moderado"),CONCATENATE("R36C",'Mapa final'!$R$109),"")</f>
        <v/>
      </c>
      <c r="Q91" s="44" t="str">
        <f>IF(AND('Mapa final'!$AB$110="Alta",'Mapa final'!$AD$110="Moderado"),CONCATENATE("R36C",'Mapa final'!$R$110),"")</f>
        <v/>
      </c>
      <c r="R91" s="120" t="str">
        <f>IF(AND('Mapa final'!$AB$111="Alta",'Mapa final'!$AD$111="Moderado"),CONCATENATE("R37C",'Mapa final'!$R$111),"")</f>
        <v/>
      </c>
      <c r="S91" s="119" t="str">
        <f>IF(AND('Mapa final'!$AB$109="Alta",'Mapa final'!$AD$109="Mayor"),CONCATENATE("R36C",'Mapa final'!$R$109),"")</f>
        <v/>
      </c>
      <c r="T91" s="44" t="str">
        <f>IF(AND('Mapa final'!$AB$110="Alta",'Mapa final'!$AD$110="Mayor"),CONCATENATE("R36C",'Mapa final'!$R$110),"")</f>
        <v/>
      </c>
      <c r="U91" s="120" t="str">
        <f>IF(AND('Mapa final'!$AB$111="Alta",'Mapa final'!$AD$111="Mayor"),CONCATENATE("R37C",'Mapa final'!$R$111),"")</f>
        <v/>
      </c>
      <c r="V91" s="45" t="str">
        <f>IF(AND('Mapa final'!$AB$109="Alta",'Mapa final'!$AD$109="Catastrófico"),CONCATENATE("R36C",'Mapa final'!$R$109),"")</f>
        <v/>
      </c>
      <c r="W91" s="46" t="str">
        <f>IF(AND('Mapa final'!$AB$110="Alta",'Mapa final'!$AD$110="Catastrófico"),CONCATENATE("R36C",'Mapa final'!$R$110),"")</f>
        <v/>
      </c>
      <c r="X91" s="114" t="str">
        <f>IF(AND('Mapa final'!$AB$111="Alta",'Mapa final'!$AD$111="Catastrófico"),CONCATENATE("R37C",'Mapa final'!$R$111),"")</f>
        <v/>
      </c>
      <c r="Y91" s="58"/>
      <c r="Z91" s="361"/>
      <c r="AA91" s="362"/>
      <c r="AB91" s="362"/>
      <c r="AC91" s="362"/>
      <c r="AD91" s="362"/>
      <c r="AE91" s="363"/>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row>
    <row r="92" spans="1:61" ht="15" customHeight="1" x14ac:dyDescent="0.25">
      <c r="A92" s="58"/>
      <c r="B92" s="356"/>
      <c r="C92" s="356"/>
      <c r="D92" s="357"/>
      <c r="E92" s="371"/>
      <c r="F92" s="372"/>
      <c r="G92" s="372"/>
      <c r="H92" s="372"/>
      <c r="I92" s="370"/>
      <c r="J92" s="51" t="str">
        <f>IF(AND('Mapa final'!$AB$112="Alta",'Mapa final'!$AD$112="Leve"),CONCATENATE("R37C",'Mapa final'!$R$112),"")</f>
        <v/>
      </c>
      <c r="K92" s="52" t="str">
        <f>IF(AND('Mapa final'!$AB$113="Alta",'Mapa final'!$AD$113="Leve"),CONCATENATE("R37C",'Mapa final'!$R$113),"")</f>
        <v/>
      </c>
      <c r="L92" s="125" t="str">
        <f>IF(AND('Mapa final'!$AB$114="Alta",'Mapa final'!$AD$114="Leve"),CONCATENATE("R38C",'Mapa final'!$R$114),"")</f>
        <v/>
      </c>
      <c r="M92" s="51" t="str">
        <f>IF(AND('Mapa final'!$AB$112="Alta",'Mapa final'!$AD$112="Menor"),CONCATENATE("R37C",'Mapa final'!$R$112),"")</f>
        <v/>
      </c>
      <c r="N92" s="52" t="str">
        <f>IF(AND('Mapa final'!$AB$113="Alta",'Mapa final'!$AD$113="Menor"),CONCATENATE("R37C",'Mapa final'!$R$113),"")</f>
        <v/>
      </c>
      <c r="O92" s="52" t="str">
        <f>IF(AND('Mapa final'!$AB$114="Alta",'Mapa final'!$AD$114="Menor"),CONCATENATE("R38C",'Mapa final'!$R$114),"")</f>
        <v/>
      </c>
      <c r="P92" s="119" t="str">
        <f>IF(AND('Mapa final'!$AB$112="Alta",'Mapa final'!$AD$112="Moderado"),CONCATENATE("R37C",'Mapa final'!$R$112),"")</f>
        <v/>
      </c>
      <c r="Q92" s="44" t="str">
        <f>IF(AND('Mapa final'!$AB$113="Alta",'Mapa final'!$AD$113="Moderado"),CONCATENATE("R37C",'Mapa final'!$R$113),"")</f>
        <v/>
      </c>
      <c r="R92" s="120" t="str">
        <f>IF(AND('Mapa final'!$AB$114="Alta",'Mapa final'!$AD$114="Moderado"),CONCATENATE("R38C",'Mapa final'!$R$114),"")</f>
        <v/>
      </c>
      <c r="S92" s="119" t="str">
        <f>IF(AND('Mapa final'!$AB$112="Alta",'Mapa final'!$AD$112="Mayor"),CONCATENATE("R37C",'Mapa final'!$R$112),"")</f>
        <v/>
      </c>
      <c r="T92" s="44" t="str">
        <f>IF(AND('Mapa final'!$AB$113="Alta",'Mapa final'!$AD$113="Mayor"),CONCATENATE("R37C",'Mapa final'!$R$113),"")</f>
        <v/>
      </c>
      <c r="U92" s="120" t="str">
        <f>IF(AND('Mapa final'!$AB$114="Alta",'Mapa final'!$AD$114="Mayor"),CONCATENATE("R38C",'Mapa final'!$R$114),"")</f>
        <v/>
      </c>
      <c r="V92" s="45" t="str">
        <f>IF(AND('Mapa final'!$AB$112="Alta",'Mapa final'!$AD$112="Catastrófico"),CONCATENATE("R37C",'Mapa final'!$R$112),"")</f>
        <v/>
      </c>
      <c r="W92" s="46" t="str">
        <f>IF(AND('Mapa final'!$AB$113="Alta",'Mapa final'!$AD$113="Catastrófico"),CONCATENATE("R37C",'Mapa final'!$R$113),"")</f>
        <v/>
      </c>
      <c r="X92" s="114" t="str">
        <f>IF(AND('Mapa final'!$AB$114="Alta",'Mapa final'!$AD$114="Catastrófico"),CONCATENATE("R38C",'Mapa final'!$R$114),"")</f>
        <v/>
      </c>
      <c r="Y92" s="58"/>
      <c r="Z92" s="361"/>
      <c r="AA92" s="362"/>
      <c r="AB92" s="362"/>
      <c r="AC92" s="362"/>
      <c r="AD92" s="362"/>
      <c r="AE92" s="363"/>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row>
    <row r="93" spans="1:61" ht="15" customHeight="1" x14ac:dyDescent="0.25">
      <c r="A93" s="58"/>
      <c r="B93" s="356"/>
      <c r="C93" s="356"/>
      <c r="D93" s="357"/>
      <c r="E93" s="371"/>
      <c r="F93" s="372"/>
      <c r="G93" s="372"/>
      <c r="H93" s="372"/>
      <c r="I93" s="370"/>
      <c r="J93" s="51" t="str">
        <f>IF(AND('Mapa final'!$AB$115="Alta",'Mapa final'!$AD$115="Leve"),CONCATENATE("R38C",'Mapa final'!$R$115),"")</f>
        <v/>
      </c>
      <c r="K93" s="52" t="str">
        <f>IF(AND('Mapa final'!$AB$116="Alta",'Mapa final'!$AD$116="Leve"),CONCATENATE("R38C",'Mapa final'!$R$116),"")</f>
        <v/>
      </c>
      <c r="L93" s="125" t="str">
        <f>IF(AND('Mapa final'!$AB$117="Alta",'Mapa final'!$AD$117="Leve"),CONCATENATE("R39C",'Mapa final'!$R$117),"")</f>
        <v/>
      </c>
      <c r="M93" s="51" t="str">
        <f>IF(AND('Mapa final'!$AB$115="Alta",'Mapa final'!$AD$115="Menor"),CONCATENATE("R38C",'Mapa final'!$R$115),"")</f>
        <v/>
      </c>
      <c r="N93" s="52" t="str">
        <f>IF(AND('Mapa final'!$AB$116="Alta",'Mapa final'!$AD$116="Menor"),CONCATENATE("R38C",'Mapa final'!$R$116),"")</f>
        <v/>
      </c>
      <c r="O93" s="52" t="str">
        <f>IF(AND('Mapa final'!$AB$117="Alta",'Mapa final'!$AD$117="Menor"),CONCATENATE("R39C",'Mapa final'!$R$117),"")</f>
        <v/>
      </c>
      <c r="P93" s="119" t="str">
        <f>IF(AND('Mapa final'!$AB$115="Alta",'Mapa final'!$AD$115="Moderado"),CONCATENATE("R38C",'Mapa final'!$R$115),"")</f>
        <v/>
      </c>
      <c r="Q93" s="44" t="str">
        <f>IF(AND('Mapa final'!$AB$116="Alta",'Mapa final'!$AD$116="Moderado"),CONCATENATE("R38C",'Mapa final'!$R$116),"")</f>
        <v/>
      </c>
      <c r="R93" s="120" t="str">
        <f>IF(AND('Mapa final'!$AB$117="Alta",'Mapa final'!$AD$117="Moderado"),CONCATENATE("R39C",'Mapa final'!$R$117),"")</f>
        <v/>
      </c>
      <c r="S93" s="119" t="str">
        <f>IF(AND('Mapa final'!$AB$115="Alta",'Mapa final'!$AD$115="Mayor"),CONCATENATE("R38C",'Mapa final'!$R$115),"")</f>
        <v/>
      </c>
      <c r="T93" s="44" t="str">
        <f>IF(AND('Mapa final'!$AB$116="Alta",'Mapa final'!$AD$116="Mayor"),CONCATENATE("R38C",'Mapa final'!$R$116),"")</f>
        <v/>
      </c>
      <c r="U93" s="120" t="str">
        <f>IF(AND('Mapa final'!$AB$117="Alta",'Mapa final'!$AD$117="Mayor"),CONCATENATE("R39C",'Mapa final'!$R$117),"")</f>
        <v/>
      </c>
      <c r="V93" s="45" t="str">
        <f>IF(AND('Mapa final'!$AB$115="Alta",'Mapa final'!$AD$115="Catastrófico"),CONCATENATE("R38C",'Mapa final'!$R$115),"")</f>
        <v/>
      </c>
      <c r="W93" s="46" t="str">
        <f>IF(AND('Mapa final'!$AB$116="Alta",'Mapa final'!$AD$116="Catastrófico"),CONCATENATE("R38C",'Mapa final'!$R$116),"")</f>
        <v/>
      </c>
      <c r="X93" s="114" t="str">
        <f>IF(AND('Mapa final'!$AB$117="Alta",'Mapa final'!$AD$117="Catastrófico"),CONCATENATE("R39C",'Mapa final'!$R$117),"")</f>
        <v/>
      </c>
      <c r="Y93" s="58"/>
      <c r="Z93" s="361"/>
      <c r="AA93" s="362"/>
      <c r="AB93" s="362"/>
      <c r="AC93" s="362"/>
      <c r="AD93" s="362"/>
      <c r="AE93" s="363"/>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row>
    <row r="94" spans="1:61" ht="15" customHeight="1" x14ac:dyDescent="0.25">
      <c r="A94" s="58"/>
      <c r="B94" s="356"/>
      <c r="C94" s="356"/>
      <c r="D94" s="357"/>
      <c r="E94" s="371"/>
      <c r="F94" s="372"/>
      <c r="G94" s="372"/>
      <c r="H94" s="372"/>
      <c r="I94" s="370"/>
      <c r="J94" s="51" t="str">
        <f>IF(AND('Mapa final'!$AB$118="Alta",'Mapa final'!$AD$118="Leve"),CONCATENATE("R39C",'Mapa final'!$R$118),"")</f>
        <v/>
      </c>
      <c r="K94" s="52" t="str">
        <f>IF(AND('Mapa final'!$AB$119="Alta",'Mapa final'!$AD$119="Leve"),CONCATENATE("R39C",'Mapa final'!$R$119),"")</f>
        <v/>
      </c>
      <c r="L94" s="125" t="str">
        <f>IF(AND('Mapa final'!$AB$120="Alta",'Mapa final'!$AD$120="Leve"),CONCATENATE("R40C",'Mapa final'!$R$120),"")</f>
        <v/>
      </c>
      <c r="M94" s="51" t="str">
        <f>IF(AND('Mapa final'!$AB$118="Alta",'Mapa final'!$AD$118="Menor"),CONCATENATE("R39C",'Mapa final'!$R$118),"")</f>
        <v/>
      </c>
      <c r="N94" s="52" t="str">
        <f>IF(AND('Mapa final'!$AB$119="Alta",'Mapa final'!$AD$119="Menor"),CONCATENATE("R39C",'Mapa final'!$R$119),"")</f>
        <v/>
      </c>
      <c r="O94" s="52" t="str">
        <f>IF(AND('Mapa final'!$AB$120="Alta",'Mapa final'!$AD$120="Menor"),CONCATENATE("R40C",'Mapa final'!$R$120),"")</f>
        <v/>
      </c>
      <c r="P94" s="119" t="str">
        <f>IF(AND('Mapa final'!$AB$118="Alta",'Mapa final'!$AD$118="Moderado"),CONCATENATE("R39C",'Mapa final'!$R$118),"")</f>
        <v>R39C1</v>
      </c>
      <c r="Q94" s="44" t="str">
        <f>IF(AND('Mapa final'!$AB$119="Alta",'Mapa final'!$AD$119="Moderado"),CONCATENATE("R39C",'Mapa final'!$R$119),"")</f>
        <v/>
      </c>
      <c r="R94" s="120" t="str">
        <f>IF(AND('Mapa final'!$AB$120="Alta",'Mapa final'!$AD$120="Moderado"),CONCATENATE("R40C",'Mapa final'!$R$120),"")</f>
        <v/>
      </c>
      <c r="S94" s="119" t="str">
        <f>IF(AND('Mapa final'!$AB$118="Alta",'Mapa final'!$AD$118="Mayor"),CONCATENATE("R39C",'Mapa final'!$R$118),"")</f>
        <v/>
      </c>
      <c r="T94" s="44" t="str">
        <f>IF(AND('Mapa final'!$AB$119="Alta",'Mapa final'!$AD$119="Mayor"),CONCATENATE("R39C",'Mapa final'!$R$119),"")</f>
        <v/>
      </c>
      <c r="U94" s="120" t="str">
        <f>IF(AND('Mapa final'!$AB$120="Alta",'Mapa final'!$AD$120="Mayor"),CONCATENATE("R40C",'Mapa final'!$R$120),"")</f>
        <v/>
      </c>
      <c r="V94" s="45" t="str">
        <f>IF(AND('Mapa final'!$AB$118="Alta",'Mapa final'!$AD$118="Catastrófico"),CONCATENATE("R39C",'Mapa final'!$R$118),"")</f>
        <v/>
      </c>
      <c r="W94" s="46" t="str">
        <f>IF(AND('Mapa final'!$AB$119="Alta",'Mapa final'!$AD$119="Catastrófico"),CONCATENATE("R39C",'Mapa final'!$R$119),"")</f>
        <v/>
      </c>
      <c r="X94" s="114" t="str">
        <f>IF(AND('Mapa final'!$AB$120="Alta",'Mapa final'!$AD$120="Catastrófico"),CONCATENATE("R40C",'Mapa final'!$R$120),"")</f>
        <v/>
      </c>
      <c r="Y94" s="58"/>
      <c r="Z94" s="361"/>
      <c r="AA94" s="362"/>
      <c r="AB94" s="362"/>
      <c r="AC94" s="362"/>
      <c r="AD94" s="362"/>
      <c r="AE94" s="363"/>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row>
    <row r="95" spans="1:61" ht="15" customHeight="1" x14ac:dyDescent="0.25">
      <c r="A95" s="58"/>
      <c r="B95" s="356"/>
      <c r="C95" s="356"/>
      <c r="D95" s="357"/>
      <c r="E95" s="371"/>
      <c r="F95" s="372"/>
      <c r="G95" s="372"/>
      <c r="H95" s="372"/>
      <c r="I95" s="370"/>
      <c r="J95" s="51" t="str">
        <f>IF(AND('Mapa final'!$AB$121="Alta",'Mapa final'!$AD$121="Leve"),CONCATENATE("R40C",'Mapa final'!$R$121),"")</f>
        <v/>
      </c>
      <c r="K95" s="52" t="str">
        <f>IF(AND('Mapa final'!$AB$122="Alta",'Mapa final'!$AD$122="Leve"),CONCATENATE("R40C",'Mapa final'!$R$122),"")</f>
        <v/>
      </c>
      <c r="L95" s="125" t="str">
        <f>IF(AND('Mapa final'!$AB$123="Alta",'Mapa final'!$AD$123="Leve"),CONCATENATE("R40C",'Mapa final'!$R$123),"")</f>
        <v/>
      </c>
      <c r="M95" s="51" t="str">
        <f>IF(AND('Mapa final'!$AB$121="Alta",'Mapa final'!$AD$121="Menor"),CONCATENATE("R40C",'Mapa final'!$R$121),"")</f>
        <v/>
      </c>
      <c r="N95" s="52" t="str">
        <f>IF(AND('Mapa final'!$AB$122="Alta",'Mapa final'!$AD$122="Menor"),CONCATENATE("R40C",'Mapa final'!$R$122),"")</f>
        <v/>
      </c>
      <c r="O95" s="52" t="str">
        <f>IF(AND('Mapa final'!$AB$123="Alta",'Mapa final'!$AD$123="Menor"),CONCATENATE("R40C",'Mapa final'!$R$123),"")</f>
        <v/>
      </c>
      <c r="P95" s="119" t="str">
        <f>IF(AND('Mapa final'!$AB$121="Alta",'Mapa final'!$AD$121="Moderado"),CONCATENATE("R40C",'Mapa final'!$R$121),"")</f>
        <v>R40C1</v>
      </c>
      <c r="Q95" s="44" t="str">
        <f>IF(AND('Mapa final'!$AB$122="Alta",'Mapa final'!$AD$122="Moderado"),CONCATENATE("R40C",'Mapa final'!$R$122),"")</f>
        <v/>
      </c>
      <c r="R95" s="120" t="str">
        <f>IF(AND('Mapa final'!$AB$123="Alta",'Mapa final'!$AD$123="Moderado"),CONCATENATE("R40C",'Mapa final'!$R$123),"")</f>
        <v/>
      </c>
      <c r="S95" s="119" t="str">
        <f>IF(AND('Mapa final'!$AB$121="Alta",'Mapa final'!$AD$121="Mayor"),CONCATENATE("R40C",'Mapa final'!$R$121),"")</f>
        <v/>
      </c>
      <c r="T95" s="44" t="str">
        <f>IF(AND('Mapa final'!$AB$122="Alta",'Mapa final'!$AD$122="Mayor"),CONCATENATE("R40C",'Mapa final'!$R$122),"")</f>
        <v/>
      </c>
      <c r="U95" s="120" t="str">
        <f>IF(AND('Mapa final'!$AB$123="Alta",'Mapa final'!$AD$123="Mayor"),CONCATENATE("R40C",'Mapa final'!$R$123),"")</f>
        <v/>
      </c>
      <c r="V95" s="45" t="str">
        <f>IF(AND('Mapa final'!$AB$121="Alta",'Mapa final'!$AD$121="Catastrófico"),CONCATENATE("R40C",'Mapa final'!$R$121),"")</f>
        <v/>
      </c>
      <c r="W95" s="46" t="str">
        <f>IF(AND('Mapa final'!$AB$122="Alta",'Mapa final'!$AD$122="Catastrófico"),CONCATENATE("R40C",'Mapa final'!$R$122),"")</f>
        <v/>
      </c>
      <c r="X95" s="114" t="str">
        <f>IF(AND('Mapa final'!$AB$123="Alta",'Mapa final'!$AD$123="Catastrófico"),CONCATENATE("R40C",'Mapa final'!$R$123),"")</f>
        <v/>
      </c>
      <c r="Y95" s="58"/>
      <c r="Z95" s="361"/>
      <c r="AA95" s="362"/>
      <c r="AB95" s="362"/>
      <c r="AC95" s="362"/>
      <c r="AD95" s="362"/>
      <c r="AE95" s="363"/>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c r="BI95" s="58"/>
    </row>
    <row r="96" spans="1:61" ht="15" customHeight="1" x14ac:dyDescent="0.25">
      <c r="A96" s="58"/>
      <c r="B96" s="356"/>
      <c r="C96" s="356"/>
      <c r="D96" s="357"/>
      <c r="E96" s="371"/>
      <c r="F96" s="372"/>
      <c r="G96" s="372"/>
      <c r="H96" s="372"/>
      <c r="I96" s="370"/>
      <c r="J96" s="51" t="str">
        <f>IF(AND('Mapa final'!$AB$124="Alta",'Mapa final'!$AD$124="Leve"),CONCATENATE("R41C",'Mapa final'!$R$124),"")</f>
        <v/>
      </c>
      <c r="K96" s="52" t="str">
        <f>IF(AND('Mapa final'!$AB$125="Alta",'Mapa final'!$AD$125="Leve"),CONCATENATE("R41C",'Mapa final'!$R$125),"")</f>
        <v/>
      </c>
      <c r="L96" s="125" t="str">
        <f>IF(AND('Mapa final'!$AB$126="Alta",'Mapa final'!$AD$126="Leve"),CONCATENATE("R41C",'Mapa final'!$R$126),"")</f>
        <v/>
      </c>
      <c r="M96" s="51" t="str">
        <f>IF(AND('Mapa final'!$AB$124="Alta",'Mapa final'!$AD$124="Menor"),CONCATENATE("R41C",'Mapa final'!$R$124),"")</f>
        <v/>
      </c>
      <c r="N96" s="52" t="str">
        <f>IF(AND('Mapa final'!$AB$125="Alta",'Mapa final'!$AD$125="Menor"),CONCATENATE("R41C",'Mapa final'!$R$125),"")</f>
        <v/>
      </c>
      <c r="O96" s="52" t="str">
        <f>IF(AND('Mapa final'!$AB$126="Alta",'Mapa final'!$AD$126="Menor"),CONCATENATE("R41C",'Mapa final'!$R$126),"")</f>
        <v/>
      </c>
      <c r="P96" s="119" t="str">
        <f>IF(AND('Mapa final'!$AB$124="Alta",'Mapa final'!$AD$124="Moderado"),CONCATENATE("R41C",'Mapa final'!$R$124),"")</f>
        <v>R41C1</v>
      </c>
      <c r="Q96" s="44" t="str">
        <f>IF(AND('Mapa final'!$AB$125="Alta",'Mapa final'!$AD$125="Moderado"),CONCATENATE("R41C",'Mapa final'!$R$125),"")</f>
        <v/>
      </c>
      <c r="R96" s="120" t="str">
        <f>IF(AND('Mapa final'!$AB$126="Alta",'Mapa final'!$AD$126="Moderado"),CONCATENATE("R41C",'Mapa final'!$R$126),"")</f>
        <v/>
      </c>
      <c r="S96" s="119" t="str">
        <f>IF(AND('Mapa final'!$AB$124="Alta",'Mapa final'!$AD$124="Mayor"),CONCATENATE("R41C",'Mapa final'!$R$124),"")</f>
        <v/>
      </c>
      <c r="T96" s="44" t="str">
        <f>IF(AND('Mapa final'!$AB$125="Alta",'Mapa final'!$AD$125="Mayor"),CONCATENATE("R41C",'Mapa final'!$R$125),"")</f>
        <v/>
      </c>
      <c r="U96" s="120" t="str">
        <f>IF(AND('Mapa final'!$AB$126="Alta",'Mapa final'!$AD$126="Mayor"),CONCATENATE("R41C",'Mapa final'!$R$126),"")</f>
        <v/>
      </c>
      <c r="V96" s="45" t="str">
        <f>IF(AND('Mapa final'!$AB$124="Alta",'Mapa final'!$AD$124="Catastrófico"),CONCATENATE("R41C",'Mapa final'!$R$124),"")</f>
        <v/>
      </c>
      <c r="W96" s="46" t="str">
        <f>IF(AND('Mapa final'!$AB$125="Alta",'Mapa final'!$AD$125="Catastrófico"),CONCATENATE("R41C",'Mapa final'!$R$125),"")</f>
        <v/>
      </c>
      <c r="X96" s="114" t="str">
        <f>IF(AND('Mapa final'!$AB$126="Alta",'Mapa final'!$AD$126="Catastrófico"),CONCATENATE("R41C",'Mapa final'!$R$126),"")</f>
        <v/>
      </c>
      <c r="Y96" s="58"/>
      <c r="Z96" s="361"/>
      <c r="AA96" s="362"/>
      <c r="AB96" s="362"/>
      <c r="AC96" s="362"/>
      <c r="AD96" s="362"/>
      <c r="AE96" s="363"/>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row>
    <row r="97" spans="1:61" ht="15" customHeight="1" x14ac:dyDescent="0.25">
      <c r="A97" s="58"/>
      <c r="B97" s="356"/>
      <c r="C97" s="356"/>
      <c r="D97" s="357"/>
      <c r="E97" s="371"/>
      <c r="F97" s="372"/>
      <c r="G97" s="372"/>
      <c r="H97" s="372"/>
      <c r="I97" s="370"/>
      <c r="J97" s="51" t="str">
        <f>IF(AND('Mapa final'!$AB$127="Alta",'Mapa final'!$AD$127="Leve"),CONCATENATE("R42C",'Mapa final'!$R$127),"")</f>
        <v/>
      </c>
      <c r="K97" s="52" t="str">
        <f>IF(AND('Mapa final'!$AB$128="Alta",'Mapa final'!$AD$128="Leve"),CONCATENATE("R42C",'Mapa final'!$R$128),"")</f>
        <v/>
      </c>
      <c r="L97" s="125" t="str">
        <f>IF(AND('Mapa final'!$AB$129="Alta",'Mapa final'!$AD$129="Leve"),CONCATENATE("R2C",'Mapa final'!$R$129),"")</f>
        <v/>
      </c>
      <c r="M97" s="51" t="str">
        <f>IF(AND('Mapa final'!$AB$127="Alta",'Mapa final'!$AD$127="Menor"),CONCATENATE("R42C",'Mapa final'!$R$127),"")</f>
        <v/>
      </c>
      <c r="N97" s="52" t="str">
        <f>IF(AND('Mapa final'!$AB$128="Alta",'Mapa final'!$AD$128="Menor"),CONCATENATE("R42C",'Mapa final'!$R$128),"")</f>
        <v/>
      </c>
      <c r="O97" s="52" t="str">
        <f>IF(AND('Mapa final'!$AB$129="Alta",'Mapa final'!$AD$129="Menor"),CONCATENATE("R2C",'Mapa final'!$R$129),"")</f>
        <v/>
      </c>
      <c r="P97" s="119" t="str">
        <f>IF(AND('Mapa final'!$AB$127="Alta",'Mapa final'!$AD$127="Moderado"),CONCATENATE("R42C",'Mapa final'!$R$127),"")</f>
        <v/>
      </c>
      <c r="Q97" s="44" t="str">
        <f>IF(AND('Mapa final'!$AB$128="Alta",'Mapa final'!$AD$128="Moderado"),CONCATENATE("R42C",'Mapa final'!$R$128),"")</f>
        <v/>
      </c>
      <c r="R97" s="120" t="str">
        <f>IF(AND('Mapa final'!$AB$129="Alta",'Mapa final'!$AD$129="Moderado"),CONCATENATE("R2C",'Mapa final'!$R$129),"")</f>
        <v/>
      </c>
      <c r="S97" s="119" t="str">
        <f>IF(AND('Mapa final'!$AB$127="Alta",'Mapa final'!$AD$127="Mayor"),CONCATENATE("R42C",'Mapa final'!$R$127),"")</f>
        <v/>
      </c>
      <c r="T97" s="44" t="str">
        <f>IF(AND('Mapa final'!$AB$128="Alta",'Mapa final'!$AD$128="Mayor"),CONCATENATE("R42C",'Mapa final'!$R$128),"")</f>
        <v/>
      </c>
      <c r="U97" s="120" t="str">
        <f>IF(AND('Mapa final'!$AB$129="Alta",'Mapa final'!$AD$129="Mayor"),CONCATENATE("R2C",'Mapa final'!$R$129),"")</f>
        <v/>
      </c>
      <c r="V97" s="45" t="str">
        <f>IF(AND('Mapa final'!$AB$127="Alta",'Mapa final'!$AD$127="Catastrófico"),CONCATENATE("R42C",'Mapa final'!$R$127),"")</f>
        <v/>
      </c>
      <c r="W97" s="46" t="str">
        <f>IF(AND('Mapa final'!$AB$128="Alta",'Mapa final'!$AD$128="Catastrófico"),CONCATENATE("R42C",'Mapa final'!$R$128),"")</f>
        <v/>
      </c>
      <c r="X97" s="114" t="str">
        <f>IF(AND('Mapa final'!$AB$129="Alta",'Mapa final'!$AD$129="Catastrófico"),CONCATENATE("R2C",'Mapa final'!$R$129),"")</f>
        <v/>
      </c>
      <c r="Y97" s="58"/>
      <c r="Z97" s="361"/>
      <c r="AA97" s="362"/>
      <c r="AB97" s="362"/>
      <c r="AC97" s="362"/>
      <c r="AD97" s="362"/>
      <c r="AE97" s="363"/>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row>
    <row r="98" spans="1:61" ht="15" customHeight="1" x14ac:dyDescent="0.25">
      <c r="A98" s="58"/>
      <c r="B98" s="356"/>
      <c r="C98" s="356"/>
      <c r="D98" s="357"/>
      <c r="E98" s="371"/>
      <c r="F98" s="372"/>
      <c r="G98" s="372"/>
      <c r="H98" s="372"/>
      <c r="I98" s="370"/>
      <c r="J98" s="51" t="str">
        <f>IF(AND('Mapa final'!$AB$130="Alta",'Mapa final'!$AD$130="Leve"),CONCATENATE("R43C",'Mapa final'!$R$130),"")</f>
        <v/>
      </c>
      <c r="K98" s="52" t="str">
        <f>IF(AND('Mapa final'!$AB$131="Alta",'Mapa final'!$AD$131="Leve"),CONCATENATE("R43C",'Mapa final'!$R$131),"")</f>
        <v/>
      </c>
      <c r="L98" s="125" t="str">
        <f>IF(AND('Mapa final'!$AB$132="Alta",'Mapa final'!$AD$132="Leve"),CONCATENATE("R43C",'Mapa final'!$R$132),"")</f>
        <v/>
      </c>
      <c r="M98" s="51" t="str">
        <f>IF(AND('Mapa final'!$AB$130="Alta",'Mapa final'!$AD$130="Menor"),CONCATENATE("R43C",'Mapa final'!$R$130),"")</f>
        <v/>
      </c>
      <c r="N98" s="52" t="str">
        <f>IF(AND('Mapa final'!$AB$131="Alta",'Mapa final'!$AD$131="Menor"),CONCATENATE("R43C",'Mapa final'!$R$131),"")</f>
        <v/>
      </c>
      <c r="O98" s="52" t="str">
        <f>IF(AND('Mapa final'!$AB$132="Alta",'Mapa final'!$AD$132="Menor"),CONCATENATE("R43C",'Mapa final'!$R$132),"")</f>
        <v/>
      </c>
      <c r="P98" s="119" t="str">
        <f>IF(AND('Mapa final'!$AB$130="Alta",'Mapa final'!$AD$130="Moderado"),CONCATENATE("R43C",'Mapa final'!$R$130),"")</f>
        <v/>
      </c>
      <c r="Q98" s="44" t="str">
        <f>IF(AND('Mapa final'!$AB$131="Alta",'Mapa final'!$AD$131="Moderado"),CONCATENATE("R43C",'Mapa final'!$R$131),"")</f>
        <v/>
      </c>
      <c r="R98" s="120" t="str">
        <f>IF(AND('Mapa final'!$AB$132="Alta",'Mapa final'!$AD$132="Moderado"),CONCATENATE("R43C",'Mapa final'!$R$132),"")</f>
        <v/>
      </c>
      <c r="S98" s="119" t="str">
        <f>IF(AND('Mapa final'!$AB$130="Alta",'Mapa final'!$AD$130="Mayor"),CONCATENATE("R43C",'Mapa final'!$R$130),"")</f>
        <v/>
      </c>
      <c r="T98" s="44" t="str">
        <f>IF(AND('Mapa final'!$AB$131="Alta",'Mapa final'!$AD$131="Mayor"),CONCATENATE("R43C",'Mapa final'!$R$131),"")</f>
        <v/>
      </c>
      <c r="U98" s="120" t="str">
        <f>IF(AND('Mapa final'!$AB$132="Alta",'Mapa final'!$AD$132="Mayor"),CONCATENATE("R43C",'Mapa final'!$R$132),"")</f>
        <v/>
      </c>
      <c r="V98" s="45" t="str">
        <f>IF(AND('Mapa final'!$AB$130="Alta",'Mapa final'!$AD$130="Catastrófico"),CONCATENATE("R43C",'Mapa final'!$R$130),"")</f>
        <v/>
      </c>
      <c r="W98" s="46" t="str">
        <f>IF(AND('Mapa final'!$AB$131="Alta",'Mapa final'!$AD$131="Catastrófico"),CONCATENATE("R43C",'Mapa final'!$R$131),"")</f>
        <v/>
      </c>
      <c r="X98" s="114" t="str">
        <f>IF(AND('Mapa final'!$AB$132="Alta",'Mapa final'!$AD$132="Catastrófico"),CONCATENATE("R43C",'Mapa final'!$R$132),"")</f>
        <v/>
      </c>
      <c r="Y98" s="58"/>
      <c r="Z98" s="361"/>
      <c r="AA98" s="362"/>
      <c r="AB98" s="362"/>
      <c r="AC98" s="362"/>
      <c r="AD98" s="362"/>
      <c r="AE98" s="363"/>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c r="BI98" s="58"/>
    </row>
    <row r="99" spans="1:61" ht="15" customHeight="1" x14ac:dyDescent="0.25">
      <c r="A99" s="58"/>
      <c r="B99" s="356"/>
      <c r="C99" s="356"/>
      <c r="D99" s="357"/>
      <c r="E99" s="371"/>
      <c r="F99" s="372"/>
      <c r="G99" s="372"/>
      <c r="H99" s="372"/>
      <c r="I99" s="370"/>
      <c r="J99" s="51" t="str">
        <f>IF(AND('Mapa final'!$AB$133="Alta",'Mapa final'!$AD$133="Leve"),CONCATENATE("R44C",'Mapa final'!$R$133),"")</f>
        <v/>
      </c>
      <c r="K99" s="52" t="str">
        <f>IF(AND('Mapa final'!$AB$134="Alta",'Mapa final'!$AD$134="Leve"),CONCATENATE("R44C",'Mapa final'!$R$134),"")</f>
        <v/>
      </c>
      <c r="L99" s="125" t="str">
        <f>IF(AND('Mapa final'!$AB$135="Alta",'Mapa final'!$AD$135="Leve"),CONCATENATE("R44C",'Mapa final'!$R$135),"")</f>
        <v/>
      </c>
      <c r="M99" s="51" t="str">
        <f>IF(AND('Mapa final'!$AB$133="Alta",'Mapa final'!$AD$133="Menor"),CONCATENATE("R44C",'Mapa final'!$R$133),"")</f>
        <v/>
      </c>
      <c r="N99" s="52" t="str">
        <f>IF(AND('Mapa final'!$AB$134="Alta",'Mapa final'!$AD$134="Menor"),CONCATENATE("R44C",'Mapa final'!$R$134),"")</f>
        <v/>
      </c>
      <c r="O99" s="52" t="str">
        <f>IF(AND('Mapa final'!$AB$135="Alta",'Mapa final'!$AD$135="Menor"),CONCATENATE("R44C",'Mapa final'!$R$135),"")</f>
        <v/>
      </c>
      <c r="P99" s="119" t="str">
        <f>IF(AND('Mapa final'!$AB$133="Alta",'Mapa final'!$AD$133="Moderado"),CONCATENATE("R44C",'Mapa final'!$R$133),"")</f>
        <v/>
      </c>
      <c r="Q99" s="44" t="str">
        <f>IF(AND('Mapa final'!$AB$134="Alta",'Mapa final'!$AD$134="Moderado"),CONCATENATE("R44C",'Mapa final'!$R$134),"")</f>
        <v/>
      </c>
      <c r="R99" s="120" t="str">
        <f>IF(AND('Mapa final'!$AB$135="Alta",'Mapa final'!$AD$135="Moderado"),CONCATENATE("R44C",'Mapa final'!$R$135),"")</f>
        <v/>
      </c>
      <c r="S99" s="119" t="str">
        <f>IF(AND('Mapa final'!$AB$133="Alta",'Mapa final'!$AD$133="Mayor"),CONCATENATE("R44C",'Mapa final'!$R$133),"")</f>
        <v/>
      </c>
      <c r="T99" s="44" t="str">
        <f>IF(AND('Mapa final'!$AB$134="Alta",'Mapa final'!$AD$134="Mayor"),CONCATENATE("R44C",'Mapa final'!$R$134),"")</f>
        <v/>
      </c>
      <c r="U99" s="120" t="str">
        <f>IF(AND('Mapa final'!$AB$135="Alta",'Mapa final'!$AD$135="Mayor"),CONCATENATE("R44C",'Mapa final'!$R$135),"")</f>
        <v/>
      </c>
      <c r="V99" s="45" t="str">
        <f>IF(AND('Mapa final'!$AB$133="Alta",'Mapa final'!$AD$133="Catastrófico"),CONCATENATE("R44C",'Mapa final'!$R$133),"")</f>
        <v/>
      </c>
      <c r="W99" s="46" t="str">
        <f>IF(AND('Mapa final'!$AB$134="Alta",'Mapa final'!$AD$134="Catastrófico"),CONCATENATE("R44C",'Mapa final'!$R$134),"")</f>
        <v/>
      </c>
      <c r="X99" s="114" t="str">
        <f>IF(AND('Mapa final'!$AB$135="Alta",'Mapa final'!$AD$135="Catastrófico"),CONCATENATE("R44C",'Mapa final'!$R$135),"")</f>
        <v/>
      </c>
      <c r="Y99" s="58"/>
      <c r="Z99" s="361"/>
      <c r="AA99" s="362"/>
      <c r="AB99" s="362"/>
      <c r="AC99" s="362"/>
      <c r="AD99" s="362"/>
      <c r="AE99" s="363"/>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c r="BI99" s="58"/>
    </row>
    <row r="100" spans="1:61" ht="15" customHeight="1" x14ac:dyDescent="0.25">
      <c r="A100" s="58"/>
      <c r="B100" s="356"/>
      <c r="C100" s="356"/>
      <c r="D100" s="357"/>
      <c r="E100" s="371"/>
      <c r="F100" s="372"/>
      <c r="G100" s="372"/>
      <c r="H100" s="372"/>
      <c r="I100" s="370"/>
      <c r="J100" s="51" t="str">
        <f>IF(AND('Mapa final'!$AB$136="Alta",'Mapa final'!$AD$136="Leve"),CONCATENATE("R45C",'Mapa final'!$R$136),"")</f>
        <v/>
      </c>
      <c r="K100" s="52" t="str">
        <f>IF(AND('Mapa final'!$AB$137="Alta",'Mapa final'!$AD$137="Leve"),CONCATENATE("R45C",'Mapa final'!$R$137),"")</f>
        <v/>
      </c>
      <c r="L100" s="125" t="str">
        <f>IF(AND('Mapa final'!$AB$138="Alta",'Mapa final'!$AD$138="Leve"),CONCATENATE("R45C",'Mapa final'!$R$138),"")</f>
        <v/>
      </c>
      <c r="M100" s="51" t="str">
        <f>IF(AND('Mapa final'!$AB$136="Alta",'Mapa final'!$AD$136="Menor"),CONCATENATE("R45C",'Mapa final'!$R$136),"")</f>
        <v/>
      </c>
      <c r="N100" s="52" t="str">
        <f>IF(AND('Mapa final'!$AB$137="Alta",'Mapa final'!$AD$137="Menor"),CONCATENATE("R45C",'Mapa final'!$R$137),"")</f>
        <v/>
      </c>
      <c r="O100" s="52" t="str">
        <f>IF(AND('Mapa final'!$AB$138="Alta",'Mapa final'!$AD$138="Menor"),CONCATENATE("R45C",'Mapa final'!$R$138),"")</f>
        <v/>
      </c>
      <c r="P100" s="119" t="str">
        <f>IF(AND('Mapa final'!$AB$136="Alta",'Mapa final'!$AD$136="Moderado"),CONCATENATE("R45C",'Mapa final'!$R$136),"")</f>
        <v/>
      </c>
      <c r="Q100" s="44" t="str">
        <f>IF(AND('Mapa final'!$AB$137="Alta",'Mapa final'!$AD$137="Moderado"),CONCATENATE("R45C",'Mapa final'!$R$137),"")</f>
        <v/>
      </c>
      <c r="R100" s="120" t="str">
        <f>IF(AND('Mapa final'!$AB$138="Alta",'Mapa final'!$AD$138="Moderado"),CONCATENATE("R45C",'Mapa final'!$R$138),"")</f>
        <v/>
      </c>
      <c r="S100" s="119" t="str">
        <f>IF(AND('Mapa final'!$AB$136="Alta",'Mapa final'!$AD$136="Mayor"),CONCATENATE("R45C",'Mapa final'!$R$136),"")</f>
        <v/>
      </c>
      <c r="T100" s="44" t="str">
        <f>IF(AND('Mapa final'!$AB$137="Alta",'Mapa final'!$AD$137="Mayor"),CONCATENATE("R45C",'Mapa final'!$R$137),"")</f>
        <v/>
      </c>
      <c r="U100" s="120" t="str">
        <f>IF(AND('Mapa final'!$AB$138="Alta",'Mapa final'!$AD$138="Mayor"),CONCATENATE("R45C",'Mapa final'!$R$138),"")</f>
        <v/>
      </c>
      <c r="V100" s="45" t="str">
        <f>IF(AND('Mapa final'!$AB$136="Alta",'Mapa final'!$AD$136="Catastrófico"),CONCATENATE("R45C",'Mapa final'!$R$136),"")</f>
        <v/>
      </c>
      <c r="W100" s="46" t="str">
        <f>IF(AND('Mapa final'!$AB$137="Alta",'Mapa final'!$AD$137="Catastrófico"),CONCATENATE("R45C",'Mapa final'!$R$137),"")</f>
        <v/>
      </c>
      <c r="X100" s="114" t="str">
        <f>IF(AND('Mapa final'!$AB$138="Alta",'Mapa final'!$AD$138="Catastrófico"),CONCATENATE("R45C",'Mapa final'!$R$138),"")</f>
        <v/>
      </c>
      <c r="Y100" s="58"/>
      <c r="Z100" s="361"/>
      <c r="AA100" s="362"/>
      <c r="AB100" s="362"/>
      <c r="AC100" s="362"/>
      <c r="AD100" s="362"/>
      <c r="AE100" s="363"/>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row>
    <row r="101" spans="1:61" ht="15" customHeight="1" x14ac:dyDescent="0.25">
      <c r="A101" s="58"/>
      <c r="B101" s="356"/>
      <c r="C101" s="356"/>
      <c r="D101" s="357"/>
      <c r="E101" s="371"/>
      <c r="F101" s="372"/>
      <c r="G101" s="372"/>
      <c r="H101" s="372"/>
      <c r="I101" s="370"/>
      <c r="J101" s="51" t="str">
        <f>IF(AND('Mapa final'!$AB$139="Alta",'Mapa final'!$AD$139="Leve"),CONCATENATE("R46C",'Mapa final'!$R$139),"")</f>
        <v/>
      </c>
      <c r="K101" s="52" t="str">
        <f>IF(AND('Mapa final'!$AB$140="Alta",'Mapa final'!$AD$140="Leve"),CONCATENATE("R46C",'Mapa final'!$R$140),"")</f>
        <v/>
      </c>
      <c r="L101" s="125" t="str">
        <f>IF(AND('Mapa final'!$AB$141="Alta",'Mapa final'!$AD$141="Leve"),CONCATENATE("R46C",'Mapa final'!$R$141),"")</f>
        <v/>
      </c>
      <c r="M101" s="51" t="str">
        <f>IF(AND('Mapa final'!$AB$139="Alta",'Mapa final'!$AD$139="Menor"),CONCATENATE("R46C",'Mapa final'!$R$139),"")</f>
        <v/>
      </c>
      <c r="N101" s="52" t="str">
        <f>IF(AND('Mapa final'!$AB$140="Alta",'Mapa final'!$AD$140="Menor"),CONCATENATE("R46C",'Mapa final'!$R$140),"")</f>
        <v/>
      </c>
      <c r="O101" s="52" t="str">
        <f>IF(AND('Mapa final'!$AB$141="Alta",'Mapa final'!$AD$141="Menor"),CONCATENATE("R46C",'Mapa final'!$R$141),"")</f>
        <v/>
      </c>
      <c r="P101" s="119" t="str">
        <f>IF(AND('Mapa final'!$AB$139="Alta",'Mapa final'!$AD$139="Moderado"),CONCATENATE("R46C",'Mapa final'!$R$139),"")</f>
        <v/>
      </c>
      <c r="Q101" s="44" t="str">
        <f>IF(AND('Mapa final'!$AB$140="Alta",'Mapa final'!$AD$140="Moderado"),CONCATENATE("R46C",'Mapa final'!$R$140),"")</f>
        <v/>
      </c>
      <c r="R101" s="120" t="str">
        <f>IF(AND('Mapa final'!$AB$141="Alta",'Mapa final'!$AD$141="Moderado"),CONCATENATE("R46C",'Mapa final'!$R$141),"")</f>
        <v/>
      </c>
      <c r="S101" s="119" t="str">
        <f>IF(AND('Mapa final'!$AB$139="Alta",'Mapa final'!$AD$139="Mayor"),CONCATENATE("R46C",'Mapa final'!$R$139),"")</f>
        <v/>
      </c>
      <c r="T101" s="44" t="str">
        <f>IF(AND('Mapa final'!$AB$140="Alta",'Mapa final'!$AD$140="Mayor"),CONCATENATE("R46C",'Mapa final'!$R$140),"")</f>
        <v/>
      </c>
      <c r="U101" s="120" t="str">
        <f>IF(AND('Mapa final'!$AB$141="Alta",'Mapa final'!$AD$141="Mayor"),CONCATENATE("R46C",'Mapa final'!$R$141),"")</f>
        <v/>
      </c>
      <c r="V101" s="45" t="str">
        <f>IF(AND('Mapa final'!$AB$139="Alta",'Mapa final'!$AD$139="Catastrófico"),CONCATENATE("R46C",'Mapa final'!$R$139),"")</f>
        <v/>
      </c>
      <c r="W101" s="46" t="str">
        <f>IF(AND('Mapa final'!$AB$140="Alta",'Mapa final'!$AD$140="Catastrófico"),CONCATENATE("R46C",'Mapa final'!$R$140),"")</f>
        <v/>
      </c>
      <c r="X101" s="114" t="str">
        <f>IF(AND('Mapa final'!$AB$141="Alta",'Mapa final'!$AD$141="Catastrófico"),CONCATENATE("R46C",'Mapa final'!$R$141),"")</f>
        <v/>
      </c>
      <c r="Y101" s="58"/>
      <c r="Z101" s="361"/>
      <c r="AA101" s="362"/>
      <c r="AB101" s="362"/>
      <c r="AC101" s="362"/>
      <c r="AD101" s="362"/>
      <c r="AE101" s="363"/>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58"/>
    </row>
    <row r="102" spans="1:61" ht="15" customHeight="1" x14ac:dyDescent="0.25">
      <c r="A102" s="58"/>
      <c r="B102" s="356"/>
      <c r="C102" s="356"/>
      <c r="D102" s="357"/>
      <c r="E102" s="371"/>
      <c r="F102" s="372"/>
      <c r="G102" s="372"/>
      <c r="H102" s="372"/>
      <c r="I102" s="370"/>
      <c r="J102" s="51" t="str">
        <f>IF(AND('Mapa final'!$AB$142="Alta",'Mapa final'!$AD$142="Leve"),CONCATENATE("R47C",'Mapa final'!$R$142),"")</f>
        <v/>
      </c>
      <c r="K102" s="52" t="str">
        <f>IF(AND('Mapa final'!$AB$143="Alta",'Mapa final'!$AD$143="Leve"),CONCATENATE("R47C",'Mapa final'!$R$143),"")</f>
        <v/>
      </c>
      <c r="L102" s="125" t="str">
        <f>IF(AND('Mapa final'!$AB$144="Alta",'Mapa final'!$AD$144="Leve"),CONCATENATE("R47C",'Mapa final'!$R$144),"")</f>
        <v/>
      </c>
      <c r="M102" s="51" t="str">
        <f>IF(AND('Mapa final'!$AB$142="Alta",'Mapa final'!$AD$142="Menor"),CONCATENATE("R47C",'Mapa final'!$R$142),"")</f>
        <v/>
      </c>
      <c r="N102" s="52" t="str">
        <f>IF(AND('Mapa final'!$AB$143="Alta",'Mapa final'!$AD$143="Menor"),CONCATENATE("R47C",'Mapa final'!$R$143),"")</f>
        <v/>
      </c>
      <c r="O102" s="52" t="str">
        <f>IF(AND('Mapa final'!$AB$144="Alta",'Mapa final'!$AD$144="Menor"),CONCATENATE("R47C",'Mapa final'!$R$144),"")</f>
        <v/>
      </c>
      <c r="P102" s="119" t="str">
        <f>IF(AND('Mapa final'!$AB$142="Alta",'Mapa final'!$AD$142="Moderado"),CONCATENATE("R47C",'Mapa final'!$R$142),"")</f>
        <v/>
      </c>
      <c r="Q102" s="44" t="str">
        <f>IF(AND('Mapa final'!$AB$143="Alta",'Mapa final'!$AD$143="Moderado"),CONCATENATE("R47C",'Mapa final'!$R$143),"")</f>
        <v/>
      </c>
      <c r="R102" s="120" t="str">
        <f>IF(AND('Mapa final'!$AB$144="Alta",'Mapa final'!$AD$144="Moderado"),CONCATENATE("R47C",'Mapa final'!$R$144),"")</f>
        <v/>
      </c>
      <c r="S102" s="119" t="str">
        <f>IF(AND('Mapa final'!$AB$142="Alta",'Mapa final'!$AD$142="Mayor"),CONCATENATE("R47C",'Mapa final'!$R$142),"")</f>
        <v/>
      </c>
      <c r="T102" s="44" t="str">
        <f>IF(AND('Mapa final'!$AB$143="Alta",'Mapa final'!$AD$143="Mayor"),CONCATENATE("R47C",'Mapa final'!$R$143),"")</f>
        <v/>
      </c>
      <c r="U102" s="120" t="str">
        <f>IF(AND('Mapa final'!$AB$144="Alta",'Mapa final'!$AD$144="Mayor"),CONCATENATE("R47C",'Mapa final'!$R$144),"")</f>
        <v/>
      </c>
      <c r="V102" s="45" t="str">
        <f>IF(AND('Mapa final'!$AB$142="Alta",'Mapa final'!$AD$142="Catastrófico"),CONCATENATE("R47C",'Mapa final'!$R$142),"")</f>
        <v/>
      </c>
      <c r="W102" s="46" t="str">
        <f>IF(AND('Mapa final'!$AB$143="Alta",'Mapa final'!$AD$143="Catastrófico"),CONCATENATE("R47C",'Mapa final'!$R$143),"")</f>
        <v/>
      </c>
      <c r="X102" s="114" t="str">
        <f>IF(AND('Mapa final'!$AB$144="Alta",'Mapa final'!$AD$144="Catastrófico"),CONCATENATE("R47C",'Mapa final'!$R$144),"")</f>
        <v/>
      </c>
      <c r="Y102" s="58"/>
      <c r="Z102" s="361"/>
      <c r="AA102" s="362"/>
      <c r="AB102" s="362"/>
      <c r="AC102" s="362"/>
      <c r="AD102" s="362"/>
      <c r="AE102" s="363"/>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c r="BI102" s="58"/>
    </row>
    <row r="103" spans="1:61" ht="15" customHeight="1" x14ac:dyDescent="0.25">
      <c r="A103" s="58"/>
      <c r="B103" s="356"/>
      <c r="C103" s="356"/>
      <c r="D103" s="357"/>
      <c r="E103" s="371"/>
      <c r="F103" s="372"/>
      <c r="G103" s="372"/>
      <c r="H103" s="372"/>
      <c r="I103" s="370"/>
      <c r="J103" s="51" t="str">
        <f>IF(AND('Mapa final'!$AB$145="Alta",'Mapa final'!$AD$145="Leve"),CONCATENATE("R48C",'Mapa final'!$R$145),"")</f>
        <v/>
      </c>
      <c r="K103" s="52" t="str">
        <f>IF(AND('Mapa final'!$AB$146="Alta",'Mapa final'!$AD$146="Leve"),CONCATENATE("R48C",'Mapa final'!$R$146),"")</f>
        <v/>
      </c>
      <c r="L103" s="125" t="str">
        <f>IF(AND('Mapa final'!$AB$147="Alta",'Mapa final'!$AD$147="Leve"),CONCATENATE("R48C",'Mapa final'!$R$147),"")</f>
        <v/>
      </c>
      <c r="M103" s="51" t="str">
        <f>IF(AND('Mapa final'!$AB$145="Alta",'Mapa final'!$AD$145="Menor"),CONCATENATE("R48C",'Mapa final'!$R$145),"")</f>
        <v/>
      </c>
      <c r="N103" s="52" t="str">
        <f>IF(AND('Mapa final'!$AB$146="Alta",'Mapa final'!$AD$146="Menor"),CONCATENATE("R48C",'Mapa final'!$R$146),"")</f>
        <v/>
      </c>
      <c r="O103" s="52" t="str">
        <f>IF(AND('Mapa final'!$AB$147="Alta",'Mapa final'!$AD$147="Menor"),CONCATENATE("R48C",'Mapa final'!$R$147),"")</f>
        <v/>
      </c>
      <c r="P103" s="119" t="str">
        <f>IF(AND('Mapa final'!$AB$145="Alta",'Mapa final'!$AD$145="Moderado"),CONCATENATE("R48C",'Mapa final'!$R$145),"")</f>
        <v/>
      </c>
      <c r="Q103" s="44" t="str">
        <f>IF(AND('Mapa final'!$AB$146="Alta",'Mapa final'!$AD$146="Moderado"),CONCATENATE("R48C",'Mapa final'!$R$146),"")</f>
        <v/>
      </c>
      <c r="R103" s="120" t="str">
        <f>IF(AND('Mapa final'!$AB$147="Alta",'Mapa final'!$AD$147="Moderado"),CONCATENATE("R48C",'Mapa final'!$R$147),"")</f>
        <v/>
      </c>
      <c r="S103" s="119" t="str">
        <f>IF(AND('Mapa final'!$AB$145="Alta",'Mapa final'!$AD$145="Mayor"),CONCATENATE("R48C",'Mapa final'!$R$145),"")</f>
        <v/>
      </c>
      <c r="T103" s="44" t="str">
        <f>IF(AND('Mapa final'!$AB$146="Alta",'Mapa final'!$AD$146="Mayor"),CONCATENATE("R48C",'Mapa final'!$R$146),"")</f>
        <v/>
      </c>
      <c r="U103" s="120" t="str">
        <f>IF(AND('Mapa final'!$AB$147="Alta",'Mapa final'!$AD$147="Mayor"),CONCATENATE("R48C",'Mapa final'!$R$147),"")</f>
        <v/>
      </c>
      <c r="V103" s="45" t="str">
        <f>IF(AND('Mapa final'!$AB$145="Alta",'Mapa final'!$AD$145="Catastrófico"),CONCATENATE("R48C",'Mapa final'!$R$145),"")</f>
        <v/>
      </c>
      <c r="W103" s="46" t="str">
        <f>IF(AND('Mapa final'!$AB$146="Alta",'Mapa final'!$AD$146="Catastrófico"),CONCATENATE("R48C",'Mapa final'!$R$146),"")</f>
        <v/>
      </c>
      <c r="X103" s="114" t="str">
        <f>IF(AND('Mapa final'!$AB$147="Alta",'Mapa final'!$AD$147="Catastrófico"),CONCATENATE("R48C",'Mapa final'!$R$147),"")</f>
        <v/>
      </c>
      <c r="Y103" s="58"/>
      <c r="Z103" s="361"/>
      <c r="AA103" s="362"/>
      <c r="AB103" s="362"/>
      <c r="AC103" s="362"/>
      <c r="AD103" s="362"/>
      <c r="AE103" s="363"/>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row>
    <row r="104" spans="1:61" ht="15" customHeight="1" x14ac:dyDescent="0.25">
      <c r="A104" s="58"/>
      <c r="B104" s="356"/>
      <c r="C104" s="356"/>
      <c r="D104" s="357"/>
      <c r="E104" s="371"/>
      <c r="F104" s="372"/>
      <c r="G104" s="372"/>
      <c r="H104" s="372"/>
      <c r="I104" s="370"/>
      <c r="J104" s="51" t="str">
        <f>IF(AND('Mapa final'!$AB$148="Alta",'Mapa final'!$AD$148="Leve"),CONCATENATE("R49C",'Mapa final'!$R$148),"")</f>
        <v/>
      </c>
      <c r="K104" s="52" t="str">
        <f>IF(AND('Mapa final'!$AB$149="Alta",'Mapa final'!$AD$149="Leve"),CONCATENATE("R49C",'Mapa final'!$R$149),"")</f>
        <v/>
      </c>
      <c r="L104" s="125" t="str">
        <f>IF(AND('Mapa final'!$AB$150="Alta",'Mapa final'!$AD$150="Leve"),CONCATENATE("R49C",'Mapa final'!$R$150),"")</f>
        <v/>
      </c>
      <c r="M104" s="51" t="str">
        <f>IF(AND('Mapa final'!$AB$148="Alta",'Mapa final'!$AD$148="Menor"),CONCATENATE("R49C",'Mapa final'!$R$148),"")</f>
        <v/>
      </c>
      <c r="N104" s="52" t="str">
        <f>IF(AND('Mapa final'!$AB$149="Alta",'Mapa final'!$AD$149="Menor"),CONCATENATE("R49C",'Mapa final'!$R$149),"")</f>
        <v/>
      </c>
      <c r="O104" s="52" t="str">
        <f>IF(AND('Mapa final'!$AB$150="Alta",'Mapa final'!$AD$150="Menor"),CONCATENATE("R49C",'Mapa final'!$R$150),"")</f>
        <v/>
      </c>
      <c r="P104" s="119" t="str">
        <f>IF(AND('Mapa final'!$AB$148="Alta",'Mapa final'!$AD$148="Moderado"),CONCATENATE("R49C",'Mapa final'!$R$148),"")</f>
        <v/>
      </c>
      <c r="Q104" s="44" t="str">
        <f>IF(AND('Mapa final'!$AB$149="Alta",'Mapa final'!$AD$149="Moderado"),CONCATENATE("R49C",'Mapa final'!$R$149),"")</f>
        <v/>
      </c>
      <c r="R104" s="120" t="str">
        <f>IF(AND('Mapa final'!$AB$150="Alta",'Mapa final'!$AD$150="Moderado"),CONCATENATE("R49C",'Mapa final'!$R$150),"")</f>
        <v/>
      </c>
      <c r="S104" s="119" t="str">
        <f>IF(AND('Mapa final'!$AB$148="Alta",'Mapa final'!$AD$148="Mayor"),CONCATENATE("R49C",'Mapa final'!$R$148),"")</f>
        <v/>
      </c>
      <c r="T104" s="44" t="str">
        <f>IF(AND('Mapa final'!$AB$149="Alta",'Mapa final'!$AD$149="Mayor"),CONCATENATE("R49C",'Mapa final'!$R$149),"")</f>
        <v/>
      </c>
      <c r="U104" s="120" t="str">
        <f>IF(AND('Mapa final'!$AB$150="Alta",'Mapa final'!$AD$150="Mayor"),CONCATENATE("R49C",'Mapa final'!$R$150),"")</f>
        <v/>
      </c>
      <c r="V104" s="45" t="str">
        <f>IF(AND('Mapa final'!$AB$148="Alta",'Mapa final'!$AD$148="Catastrófico"),CONCATENATE("R49C",'Mapa final'!$R$148),"")</f>
        <v/>
      </c>
      <c r="W104" s="46" t="str">
        <f>IF(AND('Mapa final'!$AB$149="Alta",'Mapa final'!$AD$149="Catastrófico"),CONCATENATE("R49C",'Mapa final'!$R$149),"")</f>
        <v/>
      </c>
      <c r="X104" s="114" t="str">
        <f>IF(AND('Mapa final'!$AB$150="Alta",'Mapa final'!$AD$150="Catastrófico"),CONCATENATE("R49C",'Mapa final'!$R$150),"")</f>
        <v/>
      </c>
      <c r="Y104" s="58"/>
      <c r="Z104" s="361"/>
      <c r="AA104" s="362"/>
      <c r="AB104" s="362"/>
      <c r="AC104" s="362"/>
      <c r="AD104" s="362"/>
      <c r="AE104" s="363"/>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c r="BI104" s="58"/>
    </row>
    <row r="105" spans="1:61" ht="15.75" customHeight="1" thickBot="1" x14ac:dyDescent="0.3">
      <c r="A105" s="58"/>
      <c r="B105" s="356"/>
      <c r="C105" s="356"/>
      <c r="D105" s="357"/>
      <c r="E105" s="373"/>
      <c r="F105" s="374"/>
      <c r="G105" s="374"/>
      <c r="H105" s="374"/>
      <c r="I105" s="374"/>
      <c r="J105" s="53" t="str">
        <f>IF(AND('Mapa final'!$AB$151="Alta",'Mapa final'!$AD$151="Leve"),CONCATENATE("R50C",'Mapa final'!$R$151),"")</f>
        <v/>
      </c>
      <c r="K105" s="54" t="str">
        <f>IF(AND('Mapa final'!$AB$152="Alta",'Mapa final'!$AD$152="Leve"),CONCATENATE("R50C",'Mapa final'!$R$152),"")</f>
        <v/>
      </c>
      <c r="L105" s="126" t="str">
        <f>IF(AND('Mapa final'!$AB$153="Alta",'Mapa final'!$AD$153="Leve"),CONCATENATE("R50C",'Mapa final'!$R$153),"")</f>
        <v/>
      </c>
      <c r="M105" s="51" t="str">
        <f>IF(AND('Mapa final'!$AB$151="Alta",'Mapa final'!$AD$151="Menor"),CONCATENATE("R50C",'Mapa final'!$R$151),"")</f>
        <v/>
      </c>
      <c r="N105" s="52" t="str">
        <f>IF(AND('Mapa final'!$AB$152="Alta",'Mapa final'!$AD$152="Menor"),CONCATENATE("R50C",'Mapa final'!$R$152),"")</f>
        <v/>
      </c>
      <c r="O105" s="52" t="str">
        <f>IF(AND('Mapa final'!$AB$153="Alta",'Mapa final'!$AD$153="Menor"),CONCATENATE("R50C",'Mapa final'!$R$153),"")</f>
        <v/>
      </c>
      <c r="P105" s="121" t="str">
        <f>IF(AND('Mapa final'!$AB$151="Alta",'Mapa final'!$AD$151="Moderado"),CONCATENATE("R50C",'Mapa final'!$R$151),"")</f>
        <v/>
      </c>
      <c r="Q105" s="122" t="str">
        <f>IF(AND('Mapa final'!$AB$152="Alta",'Mapa final'!$AD$152="Moderado"),CONCATENATE("R50C",'Mapa final'!$R$152),"")</f>
        <v/>
      </c>
      <c r="R105" s="123" t="str">
        <f>IF(AND('Mapa final'!$AB$153="Alta",'Mapa final'!$AD$153="Moderado"),CONCATENATE("R50C",'Mapa final'!$R$153),"")</f>
        <v/>
      </c>
      <c r="S105" s="121" t="str">
        <f>IF(AND('Mapa final'!$AB$151="Alta",'Mapa final'!$AD$151="Mayor"),CONCATENATE("R50C",'Mapa final'!$R$151),"")</f>
        <v/>
      </c>
      <c r="T105" s="122" t="str">
        <f>IF(AND('Mapa final'!$AB$152="Alta",'Mapa final'!$AD$152="Mayor"),CONCATENATE("R50C",'Mapa final'!$R$152),"")</f>
        <v/>
      </c>
      <c r="U105" s="123" t="str">
        <f>IF(AND('Mapa final'!$AB$153="Alta",'Mapa final'!$AD$153="Mayor"),CONCATENATE("R50C",'Mapa final'!$R$153),"")</f>
        <v/>
      </c>
      <c r="V105" s="47" t="str">
        <f>IF(AND('Mapa final'!$AB$151="Alta",'Mapa final'!$AD$151="Catastrófico"),CONCATENATE("R50C",'Mapa final'!$R$151),"")</f>
        <v/>
      </c>
      <c r="W105" s="48" t="str">
        <f>IF(AND('Mapa final'!$AB$152="Alta",'Mapa final'!$AD$152="Catastrófico"),CONCATENATE("R50C",'Mapa final'!$R$152),"")</f>
        <v/>
      </c>
      <c r="X105" s="115" t="str">
        <f>IF(AND('Mapa final'!$AB$153="Alta",'Mapa final'!$AD$153="Catastrófico"),CONCATENATE("R50C",'Mapa final'!$R$153),"")</f>
        <v/>
      </c>
      <c r="Y105" s="58"/>
      <c r="Z105" s="364"/>
      <c r="AA105" s="365"/>
      <c r="AB105" s="365"/>
      <c r="AC105" s="365"/>
      <c r="AD105" s="365"/>
      <c r="AE105" s="366"/>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c r="BI105" s="58"/>
    </row>
    <row r="106" spans="1:61" ht="15" customHeight="1" x14ac:dyDescent="0.25">
      <c r="A106" s="58"/>
      <c r="B106" s="356"/>
      <c r="C106" s="356"/>
      <c r="D106" s="357"/>
      <c r="E106" s="367" t="s">
        <v>111</v>
      </c>
      <c r="F106" s="368"/>
      <c r="G106" s="368"/>
      <c r="H106" s="368"/>
      <c r="I106" s="368"/>
      <c r="J106" s="49" t="str">
        <f>IF(AND('Mapa final'!$AB$7="Media",'Mapa final'!$AD$7="Leve"),CONCATENATE("R1C",'Mapa final'!$R$7),"")</f>
        <v/>
      </c>
      <c r="K106" s="50" t="str">
        <f>IF(AND('Mapa final'!$AB$8="Media",'Mapa final'!$AD$8="Leve"),CONCATENATE("R1C",'Mapa final'!$R$8),"")</f>
        <v/>
      </c>
      <c r="L106" s="124" t="str">
        <f>IF(AND('Mapa final'!$AB$9="Media",'Mapa final'!$AD$9="Leve"),CONCATENATE("R1C",'Mapa final'!$R$9),"")</f>
        <v/>
      </c>
      <c r="M106" s="49" t="str">
        <f>IF(AND('Mapa final'!$AB$7="Media",'Mapa final'!$AD$7="Menor"),CONCATENATE("R1C",'Mapa final'!$R$7),"")</f>
        <v/>
      </c>
      <c r="N106" s="50" t="str">
        <f>IF(AND('Mapa final'!$AB$8="Media",'Mapa final'!$AD$8="Menor"),CONCATENATE("R1C",'Mapa final'!$R$8),"")</f>
        <v/>
      </c>
      <c r="O106" s="124" t="str">
        <f>IF(AND('Mapa final'!$AB$9="Media",'Mapa final'!$AD$9="Menor"),CONCATENATE("R1C",'Mapa final'!$R$9),"")</f>
        <v/>
      </c>
      <c r="P106" s="51" t="str">
        <f>IF(AND('Mapa final'!$AB$7="Media",'Mapa final'!$AD$7="Moderado"),CONCATENATE("R1C",'Mapa final'!$R$7),"")</f>
        <v/>
      </c>
      <c r="Q106" s="52" t="str">
        <f>IF(AND('Mapa final'!$AB$8="Media",'Mapa final'!$AD$8="Moderado"),CONCATENATE("R1C",'Mapa final'!$R$8),"")</f>
        <v/>
      </c>
      <c r="R106" s="125" t="str">
        <f>IF(AND('Mapa final'!$AB$9="Media",'Mapa final'!$AD$9="Moderado"),CONCATENATE("R1C",'Mapa final'!$R$9),"")</f>
        <v/>
      </c>
      <c r="S106" s="116" t="str">
        <f>IF(AND('Mapa final'!$AB$7="Media",'Mapa final'!$AD$7="Mayor"),CONCATENATE("R1C",'Mapa final'!$R$7),"")</f>
        <v/>
      </c>
      <c r="T106" s="117" t="str">
        <f>IF(AND('Mapa final'!$AB$8="Media",'Mapa final'!$AD$8="Mayor"),CONCATENATE("R1C",'Mapa final'!$R$8),"")</f>
        <v/>
      </c>
      <c r="U106" s="118" t="str">
        <f>IF(AND('Mapa final'!$AB$9="Media",'Mapa final'!$AD$9="Mayor"),CONCATENATE("R1C",'Mapa final'!$R$9),"")</f>
        <v/>
      </c>
      <c r="V106" s="42" t="str">
        <f>IF(AND('Mapa final'!$AB$7="Media",'Mapa final'!$AD$7="Catastrófico"),CONCATENATE("R1C",'Mapa final'!$R$7),"")</f>
        <v/>
      </c>
      <c r="W106" s="43" t="str">
        <f>IF(AND('Mapa final'!$AB$8="Media",'Mapa final'!$AD$8="Catastrófico"),CONCATENATE("R1C",'Mapa final'!$R$8),"")</f>
        <v/>
      </c>
      <c r="X106" s="113" t="str">
        <f>IF(AND('Mapa final'!$AB$9="Media",'Mapa final'!$AD$9="Catastrófico"),CONCATENATE("R1C",'Mapa final'!$R$9),"")</f>
        <v/>
      </c>
      <c r="Y106" s="58"/>
      <c r="Z106" s="395" t="s">
        <v>75</v>
      </c>
      <c r="AA106" s="396"/>
      <c r="AB106" s="396"/>
      <c r="AC106" s="396"/>
      <c r="AD106" s="396"/>
      <c r="AE106" s="397"/>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c r="BI106" s="58"/>
    </row>
    <row r="107" spans="1:61" ht="15" customHeight="1" x14ac:dyDescent="0.25">
      <c r="A107" s="58"/>
      <c r="B107" s="356"/>
      <c r="C107" s="356"/>
      <c r="D107" s="357"/>
      <c r="E107" s="369"/>
      <c r="F107" s="370"/>
      <c r="G107" s="370"/>
      <c r="H107" s="370"/>
      <c r="I107" s="370"/>
      <c r="J107" s="51" t="str">
        <f>IF(AND('Mapa final'!$AB$10="Media",'Mapa final'!$AD$10="Leve"),CONCATENATE("R2C",'Mapa final'!$R$10),"")</f>
        <v/>
      </c>
      <c r="K107" s="52" t="str">
        <f>IF(AND('Mapa final'!$AB$11="Media",'Mapa final'!$AD$11="Leve"),CONCATENATE("R2C",'Mapa final'!$R$11),"")</f>
        <v/>
      </c>
      <c r="L107" s="125" t="str">
        <f>IF(AND('Mapa final'!$AB$12="Media",'Mapa final'!$AD$12="Leve"),CONCATENATE("R2C",'Mapa final'!$R$12),"")</f>
        <v/>
      </c>
      <c r="M107" s="51" t="str">
        <f>IF(AND('Mapa final'!$AB$10="Media",'Mapa final'!$AD$10="Menor"),CONCATENATE("R2C",'Mapa final'!$R$10),"")</f>
        <v/>
      </c>
      <c r="N107" s="52" t="str">
        <f>IF(AND('Mapa final'!$AB$11="Media",'Mapa final'!$AD$11="Menor"),CONCATENATE("R2C",'Mapa final'!$R$11),"")</f>
        <v/>
      </c>
      <c r="O107" s="125" t="str">
        <f>IF(AND('Mapa final'!$AB$12="Media",'Mapa final'!$AD$12="Menor"),CONCATENATE("R2C",'Mapa final'!$R$12),"")</f>
        <v/>
      </c>
      <c r="P107" s="51" t="str">
        <f>IF(AND('Mapa final'!$AB$10="Media",'Mapa final'!$AD$10="Moderado"),CONCATENATE("R2C",'Mapa final'!$R$10),"")</f>
        <v/>
      </c>
      <c r="Q107" s="52" t="str">
        <f>IF(AND('Mapa final'!$AB$11="Media",'Mapa final'!$AD$11="Moderado"),CONCATENATE("R2C",'Mapa final'!$R$11),"")</f>
        <v>R2C2</v>
      </c>
      <c r="R107" s="125" t="str">
        <f>IF(AND('Mapa final'!$AB$12="Media",'Mapa final'!$AD$12="Moderado"),CONCATENATE("R2C",'Mapa final'!$R$12),"")</f>
        <v>R2C3</v>
      </c>
      <c r="S107" s="119" t="str">
        <f>IF(AND('Mapa final'!$AB$10="Media",'Mapa final'!$AD$10="Mayor"),CONCATENATE("R2C",'Mapa final'!$R$10),"")</f>
        <v/>
      </c>
      <c r="T107" s="44" t="str">
        <f>IF(AND('Mapa final'!$AB$11="Media",'Mapa final'!$AD$11="Mayor"),CONCATENATE("R2C",'Mapa final'!$R$11),"")</f>
        <v/>
      </c>
      <c r="U107" s="120" t="str">
        <f>IF(AND('Mapa final'!$AB$12="Media",'Mapa final'!$AD$12="Mayor"),CONCATENATE("R2C",'Mapa final'!$R$12),"")</f>
        <v/>
      </c>
      <c r="V107" s="45" t="str">
        <f>IF(AND('Mapa final'!$AB$10="Media",'Mapa final'!$AD$10="Catastrófico"),CONCATENATE("R2C",'Mapa final'!$R$10),"")</f>
        <v/>
      </c>
      <c r="W107" s="46" t="str">
        <f>IF(AND('Mapa final'!$AB$11="Media",'Mapa final'!$AD$11="Catastrófico"),CONCATENATE("R2C",'Mapa final'!$R$11),"")</f>
        <v/>
      </c>
      <c r="X107" s="114" t="str">
        <f>IF(AND('Mapa final'!$AB$12="Media",'Mapa final'!$AD$12="Catastrófico"),CONCATENATE("R2C",'Mapa final'!$R$12),"")</f>
        <v/>
      </c>
      <c r="Y107" s="58"/>
      <c r="Z107" s="398"/>
      <c r="AA107" s="399"/>
      <c r="AB107" s="399"/>
      <c r="AC107" s="399"/>
      <c r="AD107" s="399"/>
      <c r="AE107" s="400"/>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c r="BI107" s="58"/>
    </row>
    <row r="108" spans="1:61" ht="15" customHeight="1" x14ac:dyDescent="0.25">
      <c r="A108" s="58"/>
      <c r="B108" s="356"/>
      <c r="C108" s="356"/>
      <c r="D108" s="357"/>
      <c r="E108" s="371"/>
      <c r="F108" s="372"/>
      <c r="G108" s="372"/>
      <c r="H108" s="372"/>
      <c r="I108" s="370"/>
      <c r="J108" s="51" t="str">
        <f>IF(AND('Mapa final'!$AB$13="Media",'Mapa final'!$AD$13="Leve"),CONCATENATE("R3C",'Mapa final'!$R$13),"")</f>
        <v/>
      </c>
      <c r="K108" s="52" t="str">
        <f>IF(AND('Mapa final'!$AB$14="Media",'Mapa final'!$AD$14="Leve"),CONCATENATE("R3C",'Mapa final'!$R$14),"")</f>
        <v/>
      </c>
      <c r="L108" s="125" t="str">
        <f>IF(AND('Mapa final'!$AB$15="Media",'Mapa final'!$AD$15="Leve"),CONCATENATE("R3C",'Mapa final'!$R$15),"")</f>
        <v/>
      </c>
      <c r="M108" s="51" t="str">
        <f>IF(AND('Mapa final'!$AB$13="Media",'Mapa final'!$AD$13="Menor"),CONCATENATE("R3C",'Mapa final'!$R$13),"")</f>
        <v/>
      </c>
      <c r="N108" s="52" t="str">
        <f>IF(AND('Mapa final'!$AB$14="Media",'Mapa final'!$AD$14="Menor"),CONCATENATE("R3C",'Mapa final'!$R$14),"")</f>
        <v/>
      </c>
      <c r="O108" s="125" t="str">
        <f>IF(AND('Mapa final'!$AB$15="Media",'Mapa final'!$AD$15="Menor"),CONCATENATE("R3C",'Mapa final'!$R$15),"")</f>
        <v/>
      </c>
      <c r="P108" s="51" t="str">
        <f>IF(AND('Mapa final'!$AB$13="Media",'Mapa final'!$AD$13="Moderado"),CONCATENATE("R3C",'Mapa final'!$R$13),"")</f>
        <v>R3C1</v>
      </c>
      <c r="Q108" s="52" t="str">
        <f>IF(AND('Mapa final'!$AB$14="Media",'Mapa final'!$AD$14="Moderado"),CONCATENATE("R3C",'Mapa final'!$R$14),"")</f>
        <v>R3C2</v>
      </c>
      <c r="R108" s="125" t="str">
        <f>IF(AND('Mapa final'!$AB$15="Media",'Mapa final'!$AD$15="Moderado"),CONCATENATE("R3C",'Mapa final'!$R$15),"")</f>
        <v>R3C3</v>
      </c>
      <c r="S108" s="119" t="str">
        <f>IF(AND('Mapa final'!$AB$13="Media",'Mapa final'!$AD$13="Mayor"),CONCATENATE("R3C",'Mapa final'!$R$13),"")</f>
        <v/>
      </c>
      <c r="T108" s="44" t="str">
        <f>IF(AND('Mapa final'!$AB$14="Media",'Mapa final'!$AD$14="Mayor"),CONCATENATE("R3C",'Mapa final'!$R$14),"")</f>
        <v/>
      </c>
      <c r="U108" s="120" t="str">
        <f>IF(AND('Mapa final'!$AB$15="Media",'Mapa final'!$AD$15="Mayor"),CONCATENATE("R3C",'Mapa final'!$R$15),"")</f>
        <v/>
      </c>
      <c r="V108" s="45" t="str">
        <f>IF(AND('Mapa final'!$AB$13="Media",'Mapa final'!$AD$13="Catastrófico"),CONCATENATE("R3C",'Mapa final'!$R$13),"")</f>
        <v/>
      </c>
      <c r="W108" s="46" t="str">
        <f>IF(AND('Mapa final'!$AB$14="Media",'Mapa final'!$AD$14="Catastrófico"),CONCATENATE("R3C",'Mapa final'!$R$14),"")</f>
        <v/>
      </c>
      <c r="X108" s="114" t="str">
        <f>IF(AND('Mapa final'!$AB$15="Media",'Mapa final'!$AD$15="Catastrófico"),CONCATENATE("R3C",'Mapa final'!$R$15),"")</f>
        <v/>
      </c>
      <c r="Y108" s="58"/>
      <c r="Z108" s="398"/>
      <c r="AA108" s="399"/>
      <c r="AB108" s="399"/>
      <c r="AC108" s="399"/>
      <c r="AD108" s="399"/>
      <c r="AE108" s="400"/>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c r="BI108" s="58"/>
    </row>
    <row r="109" spans="1:61" ht="15" customHeight="1" x14ac:dyDescent="0.25">
      <c r="A109" s="58"/>
      <c r="B109" s="356"/>
      <c r="C109" s="356"/>
      <c r="D109" s="357"/>
      <c r="E109" s="371"/>
      <c r="F109" s="372"/>
      <c r="G109" s="372"/>
      <c r="H109" s="372"/>
      <c r="I109" s="370"/>
      <c r="J109" s="51" t="str">
        <f>IF(AND('Mapa final'!$AB$16="Media",'Mapa final'!$AD$16="Leve"),CONCATENATE("R4C",'Mapa final'!$R$16),"")</f>
        <v>R4C1</v>
      </c>
      <c r="K109" s="52" t="str">
        <f>IF(AND('Mapa final'!$AB$17="Media",'Mapa final'!$AD$17="Leve"),CONCATENATE("R4C",'Mapa final'!$R$17),"")</f>
        <v/>
      </c>
      <c r="L109" s="125" t="str">
        <f>IF(AND('Mapa final'!$AB$18="Media",'Mapa final'!$AD$18="Leve"),CONCATENATE("R4C",'Mapa final'!$R$18),"")</f>
        <v>R4C3</v>
      </c>
      <c r="M109" s="51" t="str">
        <f>IF(AND('Mapa final'!$AB$16="Media",'Mapa final'!$AD$16="Menor"),CONCATENATE("R4C",'Mapa final'!$R$16),"")</f>
        <v/>
      </c>
      <c r="N109" s="52" t="str">
        <f>IF(AND('Mapa final'!$AB$17="Media",'Mapa final'!$AD$17="Menor"),CONCATENATE("R4C",'Mapa final'!$R$17),"")</f>
        <v/>
      </c>
      <c r="O109" s="125" t="str">
        <f>IF(AND('Mapa final'!$AB$18="Media",'Mapa final'!$AD$18="Menor"),CONCATENATE("R4C",'Mapa final'!$R$18),"")</f>
        <v/>
      </c>
      <c r="P109" s="51" t="str">
        <f>IF(AND('Mapa final'!$AB$16="Media",'Mapa final'!$AD$16="Moderado"),CONCATENATE("R4C",'Mapa final'!$R$16),"")</f>
        <v/>
      </c>
      <c r="Q109" s="52" t="str">
        <f>IF(AND('Mapa final'!$AB$17="Media",'Mapa final'!$AD$17="Moderado"),CONCATENATE("R4C",'Mapa final'!$R$17),"")</f>
        <v/>
      </c>
      <c r="R109" s="125" t="str">
        <f>IF(AND('Mapa final'!$AB$18="Media",'Mapa final'!$AD$18="Moderado"),CONCATENATE("R4C",'Mapa final'!$R$18),"")</f>
        <v/>
      </c>
      <c r="S109" s="119" t="str">
        <f>IF(AND('Mapa final'!$AB$16="Media",'Mapa final'!$AD$16="Mayor"),CONCATENATE("R4C",'Mapa final'!$R$16),"")</f>
        <v/>
      </c>
      <c r="T109" s="44" t="str">
        <f>IF(AND('Mapa final'!$AB$17="Media",'Mapa final'!$AD$17="Mayor"),CONCATENATE("R4C",'Mapa final'!$R$17),"")</f>
        <v/>
      </c>
      <c r="U109" s="120" t="str">
        <f>IF(AND('Mapa final'!$AB$18="Media",'Mapa final'!$AD$18="Mayor"),CONCATENATE("R4C",'Mapa final'!$R$18),"")</f>
        <v/>
      </c>
      <c r="V109" s="45" t="str">
        <f>IF(AND('Mapa final'!$AB$16="Media",'Mapa final'!$AD$16="Catastrófico"),CONCATENATE("R4C",'Mapa final'!$R$16),"")</f>
        <v/>
      </c>
      <c r="W109" s="46" t="str">
        <f>IF(AND('Mapa final'!$AB$17="Media",'Mapa final'!$AD$17="Catastrófico"),CONCATENATE("R4C",'Mapa final'!$R$17),"")</f>
        <v/>
      </c>
      <c r="X109" s="114" t="str">
        <f>IF(AND('Mapa final'!$AB$18="Media",'Mapa final'!$AD$18="Catastrófico"),CONCATENATE("R4C",'Mapa final'!$R$18),"")</f>
        <v/>
      </c>
      <c r="Y109" s="58"/>
      <c r="Z109" s="398"/>
      <c r="AA109" s="399"/>
      <c r="AB109" s="399"/>
      <c r="AC109" s="399"/>
      <c r="AD109" s="399"/>
      <c r="AE109" s="400"/>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c r="BI109" s="58"/>
    </row>
    <row r="110" spans="1:61" ht="15" customHeight="1" x14ac:dyDescent="0.25">
      <c r="A110" s="58"/>
      <c r="B110" s="356"/>
      <c r="C110" s="356"/>
      <c r="D110" s="357"/>
      <c r="E110" s="371"/>
      <c r="F110" s="372"/>
      <c r="G110" s="372"/>
      <c r="H110" s="372"/>
      <c r="I110" s="370"/>
      <c r="J110" s="51" t="str">
        <f>IF(AND('Mapa final'!$AB$19="Media",'Mapa final'!$AD$19="Leve"),CONCATENATE("R5C",'Mapa final'!$R$19),"")</f>
        <v>R5C1</v>
      </c>
      <c r="K110" s="52" t="str">
        <f>IF(AND('Mapa final'!$AB$20="Media",'Mapa final'!$AD$20="Leve"),CONCATENATE("R5C",'Mapa final'!$R$20),"")</f>
        <v/>
      </c>
      <c r="L110" s="125" t="str">
        <f>IF(AND('Mapa final'!$AB$21="Media",'Mapa final'!$AD$21="Leve"),CONCATENATE("R5C",'Mapa final'!$R$21),"")</f>
        <v/>
      </c>
      <c r="M110" s="51" t="str">
        <f>IF(AND('Mapa final'!$AB$19="Media",'Mapa final'!$AD$19="Menor"),CONCATENATE("R5C",'Mapa final'!$R$19),"")</f>
        <v/>
      </c>
      <c r="N110" s="52" t="str">
        <f>IF(AND('Mapa final'!$AB$20="Media",'Mapa final'!$AD$20="Menor"),CONCATENATE("R5C",'Mapa final'!$R$20),"")</f>
        <v/>
      </c>
      <c r="O110" s="125" t="str">
        <f>IF(AND('Mapa final'!$AB$21="Media",'Mapa final'!$AD$21="Menor"),CONCATENATE("R5C",'Mapa final'!$R$21),"")</f>
        <v/>
      </c>
      <c r="P110" s="51" t="str">
        <f>IF(AND('Mapa final'!$AB$19="Media",'Mapa final'!$AD$19="Moderado"),CONCATENATE("R5C",'Mapa final'!$R$19),"")</f>
        <v/>
      </c>
      <c r="Q110" s="52" t="str">
        <f>IF(AND('Mapa final'!$AB$20="Media",'Mapa final'!$AD$20="Moderado"),CONCATENATE("R5C",'Mapa final'!$R$20),"")</f>
        <v/>
      </c>
      <c r="R110" s="125" t="str">
        <f>IF(AND('Mapa final'!$AB$21="Media",'Mapa final'!$AD$21="Moderado"),CONCATENATE("R5C",'Mapa final'!$R$21),"")</f>
        <v/>
      </c>
      <c r="S110" s="119" t="str">
        <f>IF(AND('Mapa final'!$AB$19="Media",'Mapa final'!$AD$19="Mayor"),CONCATENATE("R5C",'Mapa final'!$R$19),"")</f>
        <v/>
      </c>
      <c r="T110" s="44" t="str">
        <f>IF(AND('Mapa final'!$AB$20="Media",'Mapa final'!$AD$20="Mayor"),CONCATENATE("R5C",'Mapa final'!$R$20),"")</f>
        <v/>
      </c>
      <c r="U110" s="120" t="str">
        <f>IF(AND('Mapa final'!$AB$21="Media",'Mapa final'!$AD$21="Mayor"),CONCATENATE("R5C",'Mapa final'!$R$21),"")</f>
        <v/>
      </c>
      <c r="V110" s="45" t="str">
        <f>IF(AND('Mapa final'!$AB$19="Media",'Mapa final'!$AD$19="Catastrófico"),CONCATENATE("R5C",'Mapa final'!$R$19),"")</f>
        <v/>
      </c>
      <c r="W110" s="46" t="str">
        <f>IF(AND('Mapa final'!$AB$20="Media",'Mapa final'!$AD$20="Catastrófico"),CONCATENATE("R5C",'Mapa final'!$R$20),"")</f>
        <v/>
      </c>
      <c r="X110" s="114" t="str">
        <f>IF(AND('Mapa final'!$AB$21="Media",'Mapa final'!$AD$21="Catastrófico"),CONCATENATE("R5C",'Mapa final'!$R$21),"")</f>
        <v/>
      </c>
      <c r="Y110" s="58"/>
      <c r="Z110" s="398"/>
      <c r="AA110" s="399"/>
      <c r="AB110" s="399"/>
      <c r="AC110" s="399"/>
      <c r="AD110" s="399"/>
      <c r="AE110" s="400"/>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8"/>
    </row>
    <row r="111" spans="1:61" ht="15" customHeight="1" x14ac:dyDescent="0.25">
      <c r="A111" s="58"/>
      <c r="B111" s="356"/>
      <c r="C111" s="356"/>
      <c r="D111" s="357"/>
      <c r="E111" s="371"/>
      <c r="F111" s="372"/>
      <c r="G111" s="372"/>
      <c r="H111" s="372"/>
      <c r="I111" s="370"/>
      <c r="J111" s="51" t="str">
        <f>IF(AND('Mapa final'!$AB$22="Media",'Mapa final'!$AD$22="Leve"),CONCATENATE("R6C",'Mapa final'!$R$22),"")</f>
        <v/>
      </c>
      <c r="K111" s="52" t="str">
        <f>IF(AND('Mapa final'!$AB$23="Media",'Mapa final'!$AD$23="Leve"),CONCATENATE("R6C",'Mapa final'!$R$23),"")</f>
        <v/>
      </c>
      <c r="L111" s="125" t="str">
        <f>IF(AND('Mapa final'!$AB$24="Media",'Mapa final'!$AD$24="Leve"),CONCATENATE("R6C",'Mapa final'!$R$24),"")</f>
        <v/>
      </c>
      <c r="M111" s="51" t="str">
        <f>IF(AND('Mapa final'!$AB$22="Media",'Mapa final'!$AD$22="Menor"),CONCATENATE("R6C",'Mapa final'!$R$22),"")</f>
        <v/>
      </c>
      <c r="N111" s="52" t="str">
        <f>IF(AND('Mapa final'!$AB$23="Media",'Mapa final'!$AD$23="Menor"),CONCATENATE("R6C",'Mapa final'!$R$23),"")</f>
        <v/>
      </c>
      <c r="O111" s="125" t="str">
        <f>IF(AND('Mapa final'!$AB$24="Media",'Mapa final'!$AD$24="Menor"),CONCATENATE("R6C",'Mapa final'!$R$24),"")</f>
        <v/>
      </c>
      <c r="P111" s="51" t="str">
        <f>IF(AND('Mapa final'!$AB$22="Media",'Mapa final'!$AD$22="Moderado"),CONCATENATE("R6C",'Mapa final'!$R$22),"")</f>
        <v/>
      </c>
      <c r="Q111" s="52" t="str">
        <f>IF(AND('Mapa final'!$AB$23="Media",'Mapa final'!$AD$23="Moderado"),CONCATENATE("R6C",'Mapa final'!$R$23),"")</f>
        <v/>
      </c>
      <c r="R111" s="125" t="str">
        <f>IF(AND('Mapa final'!$AB$24="Media",'Mapa final'!$AD$24="Moderado"),CONCATENATE("R6C",'Mapa final'!$R$24),"")</f>
        <v/>
      </c>
      <c r="S111" s="119" t="str">
        <f>IF(AND('Mapa final'!$AB$22="Media",'Mapa final'!$AD$22="Mayor"),CONCATENATE("R6C",'Mapa final'!$R$22),"")</f>
        <v/>
      </c>
      <c r="T111" s="44" t="str">
        <f>IF(AND('Mapa final'!$AB$23="Media",'Mapa final'!$AD$23="Mayor"),CONCATENATE("R6C",'Mapa final'!$R$23),"")</f>
        <v/>
      </c>
      <c r="U111" s="120" t="str">
        <f>IF(AND('Mapa final'!$AB$24="Media",'Mapa final'!$AD$24="Mayor"),CONCATENATE("R6C",'Mapa final'!$R$24),"")</f>
        <v/>
      </c>
      <c r="V111" s="45" t="str">
        <f>IF(AND('Mapa final'!$AB$22="Media",'Mapa final'!$AD$22="Catastrófico"),CONCATENATE("R6C",'Mapa final'!$R$22),"")</f>
        <v/>
      </c>
      <c r="W111" s="46" t="str">
        <f>IF(AND('Mapa final'!$AB$23="Media",'Mapa final'!$AD$23="Catastrófico"),CONCATENATE("R6C",'Mapa final'!$R$23),"")</f>
        <v/>
      </c>
      <c r="X111" s="114" t="str">
        <f>IF(AND('Mapa final'!$AB$24="Media",'Mapa final'!$AD$24="Catastrófico"),CONCATENATE("R6C",'Mapa final'!$R$24),"")</f>
        <v/>
      </c>
      <c r="Y111" s="58"/>
      <c r="Z111" s="398"/>
      <c r="AA111" s="399"/>
      <c r="AB111" s="399"/>
      <c r="AC111" s="399"/>
      <c r="AD111" s="399"/>
      <c r="AE111" s="400"/>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c r="BI111" s="58"/>
    </row>
    <row r="112" spans="1:61" ht="15" customHeight="1" x14ac:dyDescent="0.25">
      <c r="A112" s="58"/>
      <c r="B112" s="356"/>
      <c r="C112" s="356"/>
      <c r="D112" s="357"/>
      <c r="E112" s="371"/>
      <c r="F112" s="372"/>
      <c r="G112" s="372"/>
      <c r="H112" s="372"/>
      <c r="I112" s="370"/>
      <c r="J112" s="51" t="str">
        <f>IF(AND('Mapa final'!$AB$25="Media",'Mapa final'!$AD$25="Leve"),CONCATENATE("R7C",'Mapa final'!$R$25),"")</f>
        <v/>
      </c>
      <c r="K112" s="52" t="str">
        <f>IF(AND('Mapa final'!$AB$26="Media",'Mapa final'!$AD$26="Leve"),CONCATENATE("R7C",'Mapa final'!$R$26),"")</f>
        <v/>
      </c>
      <c r="L112" s="125" t="str">
        <f>IF(AND('Mapa final'!$AB$27="Media",'Mapa final'!$AD$27="Leve"),CONCATENATE("R7C",'Mapa final'!$R$27),"")</f>
        <v/>
      </c>
      <c r="M112" s="51" t="str">
        <f>IF(AND('Mapa final'!$AB$25="Media",'Mapa final'!$AD$25="Menor"),CONCATENATE("R7C",'Mapa final'!$R$25),"")</f>
        <v/>
      </c>
      <c r="N112" s="52" t="str">
        <f>IF(AND('Mapa final'!$AB$26="Media",'Mapa final'!$AD$26="Menor"),CONCATENATE("R7C",'Mapa final'!$R$26),"")</f>
        <v/>
      </c>
      <c r="O112" s="125" t="str">
        <f>IF(AND('Mapa final'!$AB$27="Media",'Mapa final'!$AD$27="Menor"),CONCATENATE("R7C",'Mapa final'!$R$27),"")</f>
        <v/>
      </c>
      <c r="P112" s="51" t="str">
        <f>IF(AND('Mapa final'!$AB$25="Media",'Mapa final'!$AD$25="Moderado"),CONCATENATE("R7C",'Mapa final'!$R$25),"")</f>
        <v/>
      </c>
      <c r="Q112" s="52" t="str">
        <f>IF(AND('Mapa final'!$AB$26="Media",'Mapa final'!$AD$26="Moderado"),CONCATENATE("R7C",'Mapa final'!$R$26),"")</f>
        <v/>
      </c>
      <c r="R112" s="125" t="str">
        <f>IF(AND('Mapa final'!$AB$27="Media",'Mapa final'!$AD$27="Moderado"),CONCATENATE("R7C",'Mapa final'!$R$27),"")</f>
        <v/>
      </c>
      <c r="S112" s="119" t="str">
        <f>IF(AND('Mapa final'!$AB$25="Media",'Mapa final'!$AD$25="Mayor"),CONCATENATE("R7C",'Mapa final'!$R$25),"")</f>
        <v/>
      </c>
      <c r="T112" s="44" t="str">
        <f>IF(AND('Mapa final'!$AB$26="Media",'Mapa final'!$AD$26="Mayor"),CONCATENATE("R7C",'Mapa final'!$R$26),"")</f>
        <v/>
      </c>
      <c r="U112" s="120" t="str">
        <f>IF(AND('Mapa final'!$AB$27="Media",'Mapa final'!$AD$27="Mayor"),CONCATENATE("R7C",'Mapa final'!$R$27),"")</f>
        <v/>
      </c>
      <c r="V112" s="45" t="str">
        <f>IF(AND('Mapa final'!$AB$25="Media",'Mapa final'!$AD$25="Catastrófico"),CONCATENATE("R7C",'Mapa final'!$R$25),"")</f>
        <v/>
      </c>
      <c r="W112" s="46" t="str">
        <f>IF(AND('Mapa final'!$AB$26="Media",'Mapa final'!$AD$26="Catastrófico"),CONCATENATE("R7C",'Mapa final'!$R$26),"")</f>
        <v/>
      </c>
      <c r="X112" s="114" t="str">
        <f>IF(AND('Mapa final'!$AB$27="Media",'Mapa final'!$AD$27="Catastrófico"),CONCATENATE("R7C",'Mapa final'!$R$27),"")</f>
        <v/>
      </c>
      <c r="Y112" s="58"/>
      <c r="Z112" s="398"/>
      <c r="AA112" s="399"/>
      <c r="AB112" s="399"/>
      <c r="AC112" s="399"/>
      <c r="AD112" s="399"/>
      <c r="AE112" s="400"/>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row>
    <row r="113" spans="1:61" ht="15" customHeight="1" x14ac:dyDescent="0.25">
      <c r="A113" s="58"/>
      <c r="B113" s="356"/>
      <c r="C113" s="356"/>
      <c r="D113" s="357"/>
      <c r="E113" s="371"/>
      <c r="F113" s="372"/>
      <c r="G113" s="372"/>
      <c r="H113" s="372"/>
      <c r="I113" s="370"/>
      <c r="J113" s="51" t="str">
        <f>IF(AND('Mapa final'!$AB$28="Media",'Mapa final'!$AD$28="Leve"),CONCATENATE("R8C",'Mapa final'!$R$28),"")</f>
        <v/>
      </c>
      <c r="K113" s="52" t="str">
        <f>IF(AND('Mapa final'!$AB$29="Media",'Mapa final'!$AD$29="Leve"),CONCATENATE("R8C",'Mapa final'!$R$29),"")</f>
        <v/>
      </c>
      <c r="L113" s="125" t="str">
        <f>IF(AND('Mapa final'!$AB$30="Media",'Mapa final'!$AD$30="Leve"),CONCATENATE("R8C",'Mapa final'!$R$30),"")</f>
        <v/>
      </c>
      <c r="M113" s="51" t="str">
        <f>IF(AND('Mapa final'!$AB$28="Media",'Mapa final'!$AD$28="Menor"),CONCATENATE("R8C",'Mapa final'!$R$28),"")</f>
        <v/>
      </c>
      <c r="N113" s="52" t="str">
        <f>IF(AND('Mapa final'!$AB$29="Media",'Mapa final'!$AD$29="Menor"),CONCATENATE("R8C",'Mapa final'!$R$29),"")</f>
        <v/>
      </c>
      <c r="O113" s="125" t="str">
        <f>IF(AND('Mapa final'!$AB$30="Media",'Mapa final'!$AD$30="Menor"),CONCATENATE("R8C",'Mapa final'!$R$30),"")</f>
        <v/>
      </c>
      <c r="P113" s="51" t="str">
        <f>IF(AND('Mapa final'!$AB$28="Media",'Mapa final'!$AD$28="Moderado"),CONCATENATE("R8C",'Mapa final'!$R$28),"")</f>
        <v>R8C1</v>
      </c>
      <c r="Q113" s="52" t="str">
        <f>IF(AND('Mapa final'!$AB$29="Media",'Mapa final'!$AD$29="Moderado"),CONCATENATE("R8C",'Mapa final'!$R$29),"")</f>
        <v/>
      </c>
      <c r="R113" s="125" t="str">
        <f>IF(AND('Mapa final'!$AB$30="Media",'Mapa final'!$AD$30="Moderado"),CONCATENATE("R8C",'Mapa final'!$R$30),"")</f>
        <v/>
      </c>
      <c r="S113" s="119" t="str">
        <f>IF(AND('Mapa final'!$AB$28="Media",'Mapa final'!$AD$28="Mayor"),CONCATENATE("R8C",'Mapa final'!$R$28),"")</f>
        <v/>
      </c>
      <c r="T113" s="44" t="str">
        <f>IF(AND('Mapa final'!$AB$29="Media",'Mapa final'!$AD$29="Mayor"),CONCATENATE("R8C",'Mapa final'!$R$29),"")</f>
        <v/>
      </c>
      <c r="U113" s="120" t="str">
        <f>IF(AND('Mapa final'!$AB$30="Media",'Mapa final'!$AD$30="Mayor"),CONCATENATE("R8C",'Mapa final'!$R$30),"")</f>
        <v/>
      </c>
      <c r="V113" s="45" t="str">
        <f>IF(AND('Mapa final'!$AB$28="Media",'Mapa final'!$AD$28="Catastrófico"),CONCATENATE("R8C",'Mapa final'!$R$28),"")</f>
        <v/>
      </c>
      <c r="W113" s="46" t="str">
        <f>IF(AND('Mapa final'!$AB$29="Media",'Mapa final'!$AD$29="Catastrófico"),CONCATENATE("R8C",'Mapa final'!$R$29),"")</f>
        <v/>
      </c>
      <c r="X113" s="114" t="str">
        <f>IF(AND('Mapa final'!$AB$30="Media",'Mapa final'!$AD$30="Catastrófico"),CONCATENATE("R8C",'Mapa final'!$R$30),"")</f>
        <v/>
      </c>
      <c r="Y113" s="58"/>
      <c r="Z113" s="398"/>
      <c r="AA113" s="399"/>
      <c r="AB113" s="399"/>
      <c r="AC113" s="399"/>
      <c r="AD113" s="399"/>
      <c r="AE113" s="400"/>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c r="BI113" s="58"/>
    </row>
    <row r="114" spans="1:61" ht="15" customHeight="1" x14ac:dyDescent="0.25">
      <c r="A114" s="58"/>
      <c r="B114" s="356"/>
      <c r="C114" s="356"/>
      <c r="D114" s="357"/>
      <c r="E114" s="371"/>
      <c r="F114" s="372"/>
      <c r="G114" s="372"/>
      <c r="H114" s="372"/>
      <c r="I114" s="370"/>
      <c r="J114" s="51" t="str">
        <f>IF(AND('Mapa final'!$AB$31="Media",'Mapa final'!$AD$31="Leve"),CONCATENATE("R9C",'Mapa final'!$R$31),"")</f>
        <v/>
      </c>
      <c r="K114" s="52" t="str">
        <f>IF(AND('Mapa final'!$AB$32="Media",'Mapa final'!$AD$32="Leve"),CONCATENATE("R9C",'Mapa final'!$R$32),"")</f>
        <v/>
      </c>
      <c r="L114" s="125" t="str">
        <f>IF(AND('Mapa final'!$AB$33="Media",'Mapa final'!$AD$33="Leve"),CONCATENATE("R9C",'Mapa final'!$R$33),"")</f>
        <v/>
      </c>
      <c r="M114" s="51" t="str">
        <f>IF(AND('Mapa final'!$AB$31="Media",'Mapa final'!$AD$31="Menor"),CONCATENATE("R9C",'Mapa final'!$R$31),"")</f>
        <v/>
      </c>
      <c r="N114" s="52" t="str">
        <f>IF(AND('Mapa final'!$AB$32="Media",'Mapa final'!$AD$32="Menor"),CONCATENATE("R9C",'Mapa final'!$R$32),"")</f>
        <v/>
      </c>
      <c r="O114" s="125" t="str">
        <f>IF(AND('Mapa final'!$AB$33="Media",'Mapa final'!$AD$33="Menor"),CONCATENATE("R9C",'Mapa final'!$R$33),"")</f>
        <v/>
      </c>
      <c r="P114" s="51" t="str">
        <f>IF(AND('Mapa final'!$AB$31="Media",'Mapa final'!$AD$31="Moderado"),CONCATENATE("R9C",'Mapa final'!$R$31),"")</f>
        <v/>
      </c>
      <c r="Q114" s="52" t="str">
        <f>IF(AND('Mapa final'!$AB$32="Media",'Mapa final'!$AD$32="Moderado"),CONCATENATE("R9C",'Mapa final'!$R$32),"")</f>
        <v/>
      </c>
      <c r="R114" s="125" t="str">
        <f>IF(AND('Mapa final'!$AB$33="Media",'Mapa final'!$AD$33="Moderado"),CONCATENATE("R9C",'Mapa final'!$R$33),"")</f>
        <v/>
      </c>
      <c r="S114" s="119" t="str">
        <f>IF(AND('Mapa final'!$AB$31="Media",'Mapa final'!$AD$31="Mayor"),CONCATENATE("R9C",'Mapa final'!$R$31),"")</f>
        <v>R9C1</v>
      </c>
      <c r="T114" s="44" t="str">
        <f>IF(AND('Mapa final'!$AB$32="Media",'Mapa final'!$AD$32="Mayor"),CONCATENATE("R9C",'Mapa final'!$R$32),"")</f>
        <v/>
      </c>
      <c r="U114" s="120" t="str">
        <f>IF(AND('Mapa final'!$AB$33="Media",'Mapa final'!$AD$33="Mayor"),CONCATENATE("R9C",'Mapa final'!$R$33),"")</f>
        <v/>
      </c>
      <c r="V114" s="45" t="str">
        <f>IF(AND('Mapa final'!$AB$31="Media",'Mapa final'!$AD$31="Catastrófico"),CONCATENATE("R9C",'Mapa final'!$R$31),"")</f>
        <v/>
      </c>
      <c r="W114" s="46" t="str">
        <f>IF(AND('Mapa final'!$AB$32="Media",'Mapa final'!$AD$32="Catastrófico"),CONCATENATE("R9C",'Mapa final'!$R$32),"")</f>
        <v/>
      </c>
      <c r="X114" s="114" t="str">
        <f>IF(AND('Mapa final'!$AB$33="Media",'Mapa final'!$AD$33="Catastrófico"),CONCATENATE("R9C",'Mapa final'!$R$33),"")</f>
        <v/>
      </c>
      <c r="Y114" s="58"/>
      <c r="Z114" s="398"/>
      <c r="AA114" s="399"/>
      <c r="AB114" s="399"/>
      <c r="AC114" s="399"/>
      <c r="AD114" s="399"/>
      <c r="AE114" s="400"/>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c r="BI114" s="58"/>
    </row>
    <row r="115" spans="1:61" ht="15" customHeight="1" x14ac:dyDescent="0.25">
      <c r="A115" s="58"/>
      <c r="B115" s="356"/>
      <c r="C115" s="356"/>
      <c r="D115" s="357"/>
      <c r="E115" s="371"/>
      <c r="F115" s="372"/>
      <c r="G115" s="372"/>
      <c r="H115" s="372"/>
      <c r="I115" s="370"/>
      <c r="J115" s="51" t="str">
        <f>IF(AND('Mapa final'!$AB$34="Media",'Mapa final'!$AD$34="Leve"),CONCATENATE("R10C",'Mapa final'!$R$34),"")</f>
        <v/>
      </c>
      <c r="K115" s="52" t="str">
        <f>IF(AND('Mapa final'!$AB$35="Media",'Mapa final'!$AD$35="Leve"),CONCATENATE("R10C",'Mapa final'!$R$35),"")</f>
        <v/>
      </c>
      <c r="L115" s="125" t="str">
        <f>IF(AND('Mapa final'!$AB$36="Media",'Mapa final'!$AD$36="Leve"),CONCATENATE("R10C",'Mapa final'!$R$36),"")</f>
        <v/>
      </c>
      <c r="M115" s="51" t="str">
        <f>IF(AND('Mapa final'!$AB$34="Media",'Mapa final'!$AD$34="Menor"),CONCATENATE("R10C",'Mapa final'!$R$34),"")</f>
        <v/>
      </c>
      <c r="N115" s="52" t="str">
        <f>IF(AND('Mapa final'!$AB$35="Media",'Mapa final'!$AD$35="Menor"),CONCATENATE("R10C",'Mapa final'!$R$35),"")</f>
        <v/>
      </c>
      <c r="O115" s="125" t="str">
        <f>IF(AND('Mapa final'!$AB$36="Media",'Mapa final'!$AD$36="Menor"),CONCATENATE("R10C",'Mapa final'!$R$36),"")</f>
        <v/>
      </c>
      <c r="P115" s="51" t="str">
        <f>IF(AND('Mapa final'!$AB$34="Media",'Mapa final'!$AD$34="Moderado"),CONCATENATE("R10C",'Mapa final'!$R$34),"")</f>
        <v>R10C1</v>
      </c>
      <c r="Q115" s="52" t="str">
        <f>IF(AND('Mapa final'!$AB$35="Media",'Mapa final'!$AD$35="Moderado"),CONCATENATE("R10C",'Mapa final'!$R$35),"")</f>
        <v/>
      </c>
      <c r="R115" s="125" t="str">
        <f>IF(AND('Mapa final'!$AB$36="Media",'Mapa final'!$AD$36="Moderado"),CONCATENATE("R10C",'Mapa final'!$R$36),"")</f>
        <v/>
      </c>
      <c r="S115" s="119" t="str">
        <f>IF(AND('Mapa final'!$AB$34="Media",'Mapa final'!$AD$34="Mayor"),CONCATENATE("R10C",'Mapa final'!$R$34),"")</f>
        <v/>
      </c>
      <c r="T115" s="44" t="str">
        <f>IF(AND('Mapa final'!$AB$35="Media",'Mapa final'!$AD$35="Mayor"),CONCATENATE("R10C",'Mapa final'!$R$35),"")</f>
        <v/>
      </c>
      <c r="U115" s="120" t="str">
        <f>IF(AND('Mapa final'!$AB$36="Media",'Mapa final'!$AD$36="Mayor"),CONCATENATE("R10C",'Mapa final'!$R$36),"")</f>
        <v/>
      </c>
      <c r="V115" s="45" t="str">
        <f>IF(AND('Mapa final'!$AB$34="Media",'Mapa final'!$AD$34="Catastrófico"),CONCATENATE("R10C",'Mapa final'!$R$34),"")</f>
        <v/>
      </c>
      <c r="W115" s="46" t="str">
        <f>IF(AND('Mapa final'!$AB$35="Media",'Mapa final'!$AD$35="Catastrófico"),CONCATENATE("R10C",'Mapa final'!$R$35),"")</f>
        <v/>
      </c>
      <c r="X115" s="114" t="str">
        <f>IF(AND('Mapa final'!$AB$36="Media",'Mapa final'!$AD$36="Catastrófico"),CONCATENATE("R10C",'Mapa final'!$R$36),"")</f>
        <v/>
      </c>
      <c r="Y115" s="58"/>
      <c r="Z115" s="398"/>
      <c r="AA115" s="399"/>
      <c r="AB115" s="399"/>
      <c r="AC115" s="399"/>
      <c r="AD115" s="399"/>
      <c r="AE115" s="400"/>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row>
    <row r="116" spans="1:61" ht="15" customHeight="1" x14ac:dyDescent="0.25">
      <c r="A116" s="58"/>
      <c r="B116" s="356"/>
      <c r="C116" s="356"/>
      <c r="D116" s="357"/>
      <c r="E116" s="371"/>
      <c r="F116" s="372"/>
      <c r="G116" s="372"/>
      <c r="H116" s="372"/>
      <c r="I116" s="370"/>
      <c r="J116" s="51" t="str">
        <f>IF(AND('Mapa final'!$AB$37="Media",'Mapa final'!$AD$37="Leve"),CONCATENATE("R11C",'Mapa final'!$R$37),"")</f>
        <v/>
      </c>
      <c r="K116" s="52" t="str">
        <f>IF(AND('Mapa final'!$AB$38="Media",'Mapa final'!$AD$38="Leve"),CONCATENATE("R11C",'Mapa final'!$R$38),"")</f>
        <v/>
      </c>
      <c r="L116" s="125" t="str">
        <f>IF(AND('Mapa final'!$AB$39="Media",'Mapa final'!$AD$39="Leve"),CONCATENATE("R11C",'Mapa final'!$R$39),"")</f>
        <v/>
      </c>
      <c r="M116" s="51" t="str">
        <f>IF(AND('Mapa final'!$AB$37="Media",'Mapa final'!$AD$37="Menor"),CONCATENATE("R11C",'Mapa final'!$R$37),"")</f>
        <v/>
      </c>
      <c r="N116" s="52" t="str">
        <f>IF(AND('Mapa final'!$AB$38="Media",'Mapa final'!$AD$38="Menor"),CONCATENATE("R11C",'Mapa final'!$R$38),"")</f>
        <v/>
      </c>
      <c r="O116" s="125" t="str">
        <f>IF(AND('Mapa final'!$AB$39="Media",'Mapa final'!$AD$39="Menor"),CONCATENATE("R11C",'Mapa final'!$R$39),"")</f>
        <v/>
      </c>
      <c r="P116" s="51" t="str">
        <f>IF(AND('Mapa final'!$AB$37="Media",'Mapa final'!$AD$37="Moderado"),CONCATENATE("R11C",'Mapa final'!$R$37),"")</f>
        <v/>
      </c>
      <c r="Q116" s="52" t="str">
        <f>IF(AND('Mapa final'!$AB$38="Media",'Mapa final'!$AD$38="Moderado"),CONCATENATE("R11C",'Mapa final'!$R$38),"")</f>
        <v/>
      </c>
      <c r="R116" s="125" t="str">
        <f>IF(AND('Mapa final'!$AB$39="Media",'Mapa final'!$AD$39="Moderado"),CONCATENATE("R11C",'Mapa final'!$R$39),"")</f>
        <v/>
      </c>
      <c r="S116" s="119" t="str">
        <f>IF(AND('Mapa final'!$AB$37="Media",'Mapa final'!$AD$37="Mayor"),CONCATENATE("R11C",'Mapa final'!$R$37),"")</f>
        <v/>
      </c>
      <c r="T116" s="44" t="str">
        <f>IF(AND('Mapa final'!$AB$38="Media",'Mapa final'!$AD$38="Mayor"),CONCATENATE("R11C",'Mapa final'!$R$38),"")</f>
        <v/>
      </c>
      <c r="U116" s="120" t="str">
        <f>IF(AND('Mapa final'!$AB$39="Media",'Mapa final'!$AD$39="Mayor"),CONCATENATE("R11C",'Mapa final'!$R$39),"")</f>
        <v/>
      </c>
      <c r="V116" s="45" t="str">
        <f>IF(AND('Mapa final'!$AB$37="Media",'Mapa final'!$AD$37="Catastrófico"),CONCATENATE("R11C",'Mapa final'!$R$37),"")</f>
        <v/>
      </c>
      <c r="W116" s="46" t="str">
        <f>IF(AND('Mapa final'!$AB$38="Media",'Mapa final'!$AD$38="Catastrófico"),CONCATENATE("R11C",'Mapa final'!$R$38),"")</f>
        <v/>
      </c>
      <c r="X116" s="114" t="str">
        <f>IF(AND('Mapa final'!$AB$39="Media",'Mapa final'!$AD$39="Catastrófico"),CONCATENATE("R11C",'Mapa final'!$R$39),"")</f>
        <v/>
      </c>
      <c r="Y116" s="58"/>
      <c r="Z116" s="398"/>
      <c r="AA116" s="399"/>
      <c r="AB116" s="399"/>
      <c r="AC116" s="399"/>
      <c r="AD116" s="399"/>
      <c r="AE116" s="400"/>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58"/>
    </row>
    <row r="117" spans="1:61" ht="15" customHeight="1" x14ac:dyDescent="0.25">
      <c r="A117" s="58"/>
      <c r="B117" s="356"/>
      <c r="C117" s="356"/>
      <c r="D117" s="357"/>
      <c r="E117" s="371"/>
      <c r="F117" s="372"/>
      <c r="G117" s="372"/>
      <c r="H117" s="372"/>
      <c r="I117" s="370"/>
      <c r="J117" s="51" t="str">
        <f>IF(AND('Mapa final'!$AB$40="Media",'Mapa final'!$AD$40="Leve"),CONCATENATE("R12C",'Mapa final'!$R$40),"")</f>
        <v/>
      </c>
      <c r="K117" s="52" t="str">
        <f>IF(AND('Mapa final'!$AB$41="Media",'Mapa final'!$AD$41="Leve"),CONCATENATE("R12C",'Mapa final'!$R$41),"")</f>
        <v/>
      </c>
      <c r="L117" s="125" t="str">
        <f>IF(AND('Mapa final'!$AB$42="Media",'Mapa final'!$AD$42="Leve"),CONCATENATE("R12C",'Mapa final'!$R$42),"")</f>
        <v/>
      </c>
      <c r="M117" s="51" t="str">
        <f>IF(AND('Mapa final'!$AB$40="Media",'Mapa final'!$AD$40="Menor"),CONCATENATE("R12C",'Mapa final'!$R$40),"")</f>
        <v/>
      </c>
      <c r="N117" s="52" t="str">
        <f>IF(AND('Mapa final'!$AB$41="Media",'Mapa final'!$AD$41="Menor"),CONCATENATE("R12C",'Mapa final'!$R$41),"")</f>
        <v/>
      </c>
      <c r="O117" s="125" t="str">
        <f>IF(AND('Mapa final'!$AB$42="Media",'Mapa final'!$AD$42="Menor"),CONCATENATE("R12C",'Mapa final'!$R$42),"")</f>
        <v/>
      </c>
      <c r="P117" s="51" t="str">
        <f>IF(AND('Mapa final'!$AB$40="Media",'Mapa final'!$AD$40="Moderado"),CONCATENATE("R12C",'Mapa final'!$R$40),"")</f>
        <v/>
      </c>
      <c r="Q117" s="52" t="str">
        <f>IF(AND('Mapa final'!$AB$41="Media",'Mapa final'!$AD$41="Moderado"),CONCATENATE("R12C",'Mapa final'!$R$41),"")</f>
        <v/>
      </c>
      <c r="R117" s="125" t="str">
        <f>IF(AND('Mapa final'!$AB$42="Media",'Mapa final'!$AD$42="Moderado"),CONCATENATE("R12C",'Mapa final'!$R$42),"")</f>
        <v/>
      </c>
      <c r="S117" s="119" t="str">
        <f>IF(AND('Mapa final'!$AB$40="Media",'Mapa final'!$AD$40="Mayor"),CONCATENATE("R12C",'Mapa final'!$R$40),"")</f>
        <v/>
      </c>
      <c r="T117" s="44" t="str">
        <f>IF(AND('Mapa final'!$AB$41="Media",'Mapa final'!$AD$41="Mayor"),CONCATENATE("R12C",'Mapa final'!$R$41),"")</f>
        <v/>
      </c>
      <c r="U117" s="120" t="str">
        <f>IF(AND('Mapa final'!$AB$42="Media",'Mapa final'!$AD$42="Mayor"),CONCATENATE("R12C",'Mapa final'!$R$42),"")</f>
        <v/>
      </c>
      <c r="V117" s="45" t="str">
        <f>IF(AND('Mapa final'!$AB$40="Media",'Mapa final'!$AD$40="Catastrófico"),CONCATENATE("R12C",'Mapa final'!$R$40),"")</f>
        <v/>
      </c>
      <c r="W117" s="46" t="str">
        <f>IF(AND('Mapa final'!$AB$41="Media",'Mapa final'!$AD$41="Catastrófico"),CONCATENATE("R12C",'Mapa final'!$R$41),"")</f>
        <v/>
      </c>
      <c r="X117" s="114" t="str">
        <f>IF(AND('Mapa final'!$AB$42="Media",'Mapa final'!$AD$42="Catastrófico"),CONCATENATE("R12C",'Mapa final'!$R$42),"")</f>
        <v/>
      </c>
      <c r="Y117" s="58"/>
      <c r="Z117" s="398"/>
      <c r="AA117" s="399"/>
      <c r="AB117" s="399"/>
      <c r="AC117" s="399"/>
      <c r="AD117" s="399"/>
      <c r="AE117" s="400"/>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row>
    <row r="118" spans="1:61" ht="15" customHeight="1" x14ac:dyDescent="0.25">
      <c r="A118" s="58"/>
      <c r="B118" s="356"/>
      <c r="C118" s="356"/>
      <c r="D118" s="357"/>
      <c r="E118" s="371"/>
      <c r="F118" s="372"/>
      <c r="G118" s="372"/>
      <c r="H118" s="372"/>
      <c r="I118" s="370"/>
      <c r="J118" s="51" t="str">
        <f>IF(AND('Mapa final'!$AB$43="Media",'Mapa final'!$AD$43="Leve"),CONCATENATE("R13C",'Mapa final'!$R$43),"")</f>
        <v/>
      </c>
      <c r="K118" s="52" t="str">
        <f>IF(AND('Mapa final'!$AB$44="Media",'Mapa final'!$AD$44="Leve"),CONCATENATE("R13C",'Mapa final'!$R$44),"")</f>
        <v/>
      </c>
      <c r="L118" s="125" t="str">
        <f>IF(AND('Mapa final'!$AB$45="Media",'Mapa final'!$AD$45="Leve"),CONCATENATE("R13C",'Mapa final'!$R$45),"")</f>
        <v/>
      </c>
      <c r="M118" s="51" t="str">
        <f>IF(AND('Mapa final'!$AB$43="Media",'Mapa final'!$AD$43="Menor"),CONCATENATE("R13C",'Mapa final'!$R$43),"")</f>
        <v/>
      </c>
      <c r="N118" s="52" t="str">
        <f>IF(AND('Mapa final'!$AB$44="Media",'Mapa final'!$AD$44="Menor"),CONCATENATE("R13C",'Mapa final'!$R$44),"")</f>
        <v/>
      </c>
      <c r="O118" s="125" t="str">
        <f>IF(AND('Mapa final'!$AB$45="Media",'Mapa final'!$AD$45="Menor"),CONCATENATE("R13C",'Mapa final'!$R$45),"")</f>
        <v/>
      </c>
      <c r="P118" s="51" t="str">
        <f>IF(AND('Mapa final'!$AB$43="Media",'Mapa final'!$AD$43="Moderado"),CONCATENATE("R13C",'Mapa final'!$R$43),"")</f>
        <v/>
      </c>
      <c r="Q118" s="52" t="str">
        <f>IF(AND('Mapa final'!$AB$44="Media",'Mapa final'!$AD$44="Moderado"),CONCATENATE("R13C",'Mapa final'!$R$44),"")</f>
        <v/>
      </c>
      <c r="R118" s="125" t="str">
        <f>IF(AND('Mapa final'!$AB$45="Media",'Mapa final'!$AD$45="Moderado"),CONCATENATE("R13C",'Mapa final'!$R$45),"")</f>
        <v/>
      </c>
      <c r="S118" s="119" t="str">
        <f>IF(AND('Mapa final'!$AB$43="Media",'Mapa final'!$AD$43="Mayor"),CONCATENATE("R13C",'Mapa final'!$R$43),"")</f>
        <v/>
      </c>
      <c r="T118" s="44" t="str">
        <f>IF(AND('Mapa final'!$AB$44="Media",'Mapa final'!$AD$44="Mayor"),CONCATENATE("R13C",'Mapa final'!$R$44),"")</f>
        <v/>
      </c>
      <c r="U118" s="120" t="str">
        <f>IF(AND('Mapa final'!$AB$45="Media",'Mapa final'!$AD$45="Mayor"),CONCATENATE("R13C",'Mapa final'!$R$45),"")</f>
        <v/>
      </c>
      <c r="V118" s="45" t="str">
        <f>IF(AND('Mapa final'!$AB$43="Media",'Mapa final'!$AD$43="Catastrófico"),CONCATENATE("R13C",'Mapa final'!$R$43),"")</f>
        <v/>
      </c>
      <c r="W118" s="46" t="str">
        <f>IF(AND('Mapa final'!$AB$44="Media",'Mapa final'!$AD$44="Catastrófico"),CONCATENATE("R13C",'Mapa final'!$R$44),"")</f>
        <v/>
      </c>
      <c r="X118" s="114" t="str">
        <f>IF(AND('Mapa final'!$AB$45="Media",'Mapa final'!$AD$45="Catastrófico"),CONCATENATE("R13C",'Mapa final'!$R$45),"")</f>
        <v/>
      </c>
      <c r="Y118" s="58"/>
      <c r="Z118" s="398"/>
      <c r="AA118" s="399"/>
      <c r="AB118" s="399"/>
      <c r="AC118" s="399"/>
      <c r="AD118" s="399"/>
      <c r="AE118" s="400"/>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row>
    <row r="119" spans="1:61" ht="15" customHeight="1" x14ac:dyDescent="0.25">
      <c r="A119" s="58"/>
      <c r="B119" s="356"/>
      <c r="C119" s="356"/>
      <c r="D119" s="357"/>
      <c r="E119" s="371"/>
      <c r="F119" s="372"/>
      <c r="G119" s="372"/>
      <c r="H119" s="372"/>
      <c r="I119" s="370"/>
      <c r="J119" s="51" t="e">
        <f>IF(AND('Mapa final'!#REF!="Media",'Mapa final'!#REF!="Leve"),CONCATENATE("R14C",'Mapa final'!#REF!),"")</f>
        <v>#REF!</v>
      </c>
      <c r="K119" s="52" t="e">
        <f>IF(AND('Mapa final'!#REF!="Media",'Mapa final'!#REF!="Leve"),CONCATENATE("R14C",'Mapa final'!#REF!),"")</f>
        <v>#REF!</v>
      </c>
      <c r="L119" s="125" t="e">
        <f>IF(AND('Mapa final'!#REF!="Media",'Mapa final'!#REF!="Leve"),CONCATENATE("R14C",'Mapa final'!#REF!),"")</f>
        <v>#REF!</v>
      </c>
      <c r="M119" s="51" t="e">
        <f>IF(AND('Mapa final'!#REF!="Media",'Mapa final'!#REF!="Menor"),CONCATENATE("R14C",'Mapa final'!#REF!),"")</f>
        <v>#REF!</v>
      </c>
      <c r="N119" s="52" t="e">
        <f>IF(AND('Mapa final'!#REF!="Media",'Mapa final'!#REF!="Menor"),CONCATENATE("R14C",'Mapa final'!#REF!),"")</f>
        <v>#REF!</v>
      </c>
      <c r="O119" s="125" t="e">
        <f>IF(AND('Mapa final'!#REF!="Media",'Mapa final'!#REF!="Menor"),CONCATENATE("R14C",'Mapa final'!#REF!),"")</f>
        <v>#REF!</v>
      </c>
      <c r="P119" s="51" t="e">
        <f>IF(AND('Mapa final'!#REF!="Media",'Mapa final'!#REF!="Moderado"),CONCATENATE("R14C",'Mapa final'!#REF!),"")</f>
        <v>#REF!</v>
      </c>
      <c r="Q119" s="52" t="e">
        <f>IF(AND('Mapa final'!#REF!="Media",'Mapa final'!#REF!="Moderado"),CONCATENATE("R14C",'Mapa final'!#REF!),"")</f>
        <v>#REF!</v>
      </c>
      <c r="R119" s="125" t="e">
        <f>IF(AND('Mapa final'!#REF!="Media",'Mapa final'!#REF!="Moderado"),CONCATENATE("R14C",'Mapa final'!#REF!),"")</f>
        <v>#REF!</v>
      </c>
      <c r="S119" s="119" t="e">
        <f>IF(AND('Mapa final'!#REF!="Media",'Mapa final'!#REF!="Mayor"),CONCATENATE("R14C",'Mapa final'!#REF!),"")</f>
        <v>#REF!</v>
      </c>
      <c r="T119" s="44" t="e">
        <f>IF(AND('Mapa final'!#REF!="Media",'Mapa final'!#REF!="Mayor"),CONCATENATE("R14C",'Mapa final'!#REF!),"")</f>
        <v>#REF!</v>
      </c>
      <c r="U119" s="120" t="e">
        <f>IF(AND('Mapa final'!#REF!="Media",'Mapa final'!#REF!="Mayor"),CONCATENATE("R14C",'Mapa final'!#REF!),"")</f>
        <v>#REF!</v>
      </c>
      <c r="V119" s="45" t="e">
        <f>IF(AND('Mapa final'!#REF!="Media",'Mapa final'!#REF!="Catastrófico"),CONCATENATE("R14C",'Mapa final'!#REF!),"")</f>
        <v>#REF!</v>
      </c>
      <c r="W119" s="46" t="e">
        <f>IF(AND('Mapa final'!#REF!="Media",'Mapa final'!#REF!="Catastrófico"),CONCATENATE("R14C",'Mapa final'!#REF!),"")</f>
        <v>#REF!</v>
      </c>
      <c r="X119" s="114" t="e">
        <f>IF(AND('Mapa final'!#REF!="Media",'Mapa final'!#REF!="Catastrófico"),CONCATENATE("R14C",'Mapa final'!#REF!),"")</f>
        <v>#REF!</v>
      </c>
      <c r="Y119" s="58"/>
      <c r="Z119" s="398"/>
      <c r="AA119" s="399"/>
      <c r="AB119" s="399"/>
      <c r="AC119" s="399"/>
      <c r="AD119" s="399"/>
      <c r="AE119" s="400"/>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c r="BI119" s="58"/>
    </row>
    <row r="120" spans="1:61" ht="15" customHeight="1" x14ac:dyDescent="0.25">
      <c r="A120" s="58"/>
      <c r="B120" s="356"/>
      <c r="C120" s="356"/>
      <c r="D120" s="357"/>
      <c r="E120" s="371"/>
      <c r="F120" s="372"/>
      <c r="G120" s="372"/>
      <c r="H120" s="372"/>
      <c r="I120" s="370"/>
      <c r="J120" s="51" t="str">
        <f>IF(AND('Mapa final'!$AB$46="Media",'Mapa final'!$AD$46="Leve"),CONCATENATE("R15C",'Mapa final'!$R$46),"")</f>
        <v/>
      </c>
      <c r="K120" s="52" t="str">
        <f>IF(AND('Mapa final'!$AB$47="Media",'Mapa final'!$AD$47="Leve"),CONCATENATE("R15C",'Mapa final'!$R$47),"")</f>
        <v/>
      </c>
      <c r="L120" s="125" t="str">
        <f>IF(AND('Mapa final'!$AB$48="Media",'Mapa final'!$AD$48="Leve"),CONCATENATE("R15C",'Mapa final'!$R$48),"")</f>
        <v/>
      </c>
      <c r="M120" s="51" t="str">
        <f>IF(AND('Mapa final'!$AB$46="Media",'Mapa final'!$AD$46="Menor"),CONCATENATE("R15C",'Mapa final'!$R$46),"")</f>
        <v/>
      </c>
      <c r="N120" s="52" t="str">
        <f>IF(AND('Mapa final'!$AB$47="Media",'Mapa final'!$AD$47="Menor"),CONCATENATE("R15C",'Mapa final'!$R$47),"")</f>
        <v/>
      </c>
      <c r="O120" s="125" t="str">
        <f>IF(AND('Mapa final'!$AB$48="Media",'Mapa final'!$AD$48="Menor"),CONCATENATE("R15C",'Mapa final'!$R$48),"")</f>
        <v/>
      </c>
      <c r="P120" s="51" t="str">
        <f>IF(AND('Mapa final'!$AB$46="Media",'Mapa final'!$AD$46="Moderado"),CONCATENATE("R15C",'Mapa final'!$R$46),"")</f>
        <v/>
      </c>
      <c r="Q120" s="52" t="str">
        <f>IF(AND('Mapa final'!$AB$47="Media",'Mapa final'!$AD$47="Moderado"),CONCATENATE("R15C",'Mapa final'!$R$47),"")</f>
        <v/>
      </c>
      <c r="R120" s="125" t="str">
        <f>IF(AND('Mapa final'!$AB$48="Media",'Mapa final'!$AD$48="Moderado"),CONCATENATE("R15C",'Mapa final'!$R$48),"")</f>
        <v/>
      </c>
      <c r="S120" s="119" t="str">
        <f>IF(AND('Mapa final'!$AB$46="Media",'Mapa final'!$AD$46="Mayor"),CONCATENATE("R15C",'Mapa final'!$R$46),"")</f>
        <v/>
      </c>
      <c r="T120" s="44" t="str">
        <f>IF(AND('Mapa final'!$AB$47="Media",'Mapa final'!$AD$47="Mayor"),CONCATENATE("R15C",'Mapa final'!$R$47),"")</f>
        <v/>
      </c>
      <c r="U120" s="120" t="str">
        <f>IF(AND('Mapa final'!$AB$48="Media",'Mapa final'!$AD$48="Mayor"),CONCATENATE("R15C",'Mapa final'!$R$48),"")</f>
        <v/>
      </c>
      <c r="V120" s="45" t="str">
        <f>IF(AND('Mapa final'!$AB$46="Media",'Mapa final'!$AD$46="Catastrófico"),CONCATENATE("R15C",'Mapa final'!$R$46),"")</f>
        <v/>
      </c>
      <c r="W120" s="46" t="str">
        <f>IF(AND('Mapa final'!$AB$47="Media",'Mapa final'!$AD$47="Catastrófico"),CONCATENATE("R15C",'Mapa final'!$R$47),"")</f>
        <v/>
      </c>
      <c r="X120" s="114" t="str">
        <f>IF(AND('Mapa final'!$AB$48="Media",'Mapa final'!$AD$48="Catastrófico"),CONCATENATE("R15C",'Mapa final'!$R$48),"")</f>
        <v/>
      </c>
      <c r="Y120" s="58"/>
      <c r="Z120" s="398"/>
      <c r="AA120" s="399"/>
      <c r="AB120" s="399"/>
      <c r="AC120" s="399"/>
      <c r="AD120" s="399"/>
      <c r="AE120" s="400"/>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row>
    <row r="121" spans="1:61" ht="15" customHeight="1" x14ac:dyDescent="0.25">
      <c r="A121" s="58"/>
      <c r="B121" s="356"/>
      <c r="C121" s="356"/>
      <c r="D121" s="357"/>
      <c r="E121" s="371"/>
      <c r="F121" s="372"/>
      <c r="G121" s="372"/>
      <c r="H121" s="372"/>
      <c r="I121" s="370"/>
      <c r="J121" s="51" t="str">
        <f>IF(AND('Mapa final'!$AB$49="Media",'Mapa final'!$AD$49="Leve"),CONCATENATE("R16C",'Mapa final'!$R$49),"")</f>
        <v/>
      </c>
      <c r="K121" s="52" t="str">
        <f>IF(AND('Mapa final'!$AB$50="Media",'Mapa final'!$AD$50="Leve"),CONCATENATE("R16C",'Mapa final'!$R$50),"")</f>
        <v/>
      </c>
      <c r="L121" s="125" t="str">
        <f>IF(AND('Mapa final'!$AB$51="Media",'Mapa final'!$AD$51="Leve"),CONCATENATE("R16C",'Mapa final'!$R$51),"")</f>
        <v/>
      </c>
      <c r="M121" s="51" t="str">
        <f>IF(AND('Mapa final'!$AB$49="Media",'Mapa final'!$AD$49="Menor"),CONCATENATE("R16C",'Mapa final'!$R$49),"")</f>
        <v/>
      </c>
      <c r="N121" s="52" t="str">
        <f>IF(AND('Mapa final'!$AB$50="Media",'Mapa final'!$AD$50="Menor"),CONCATENATE("R16C",'Mapa final'!$R$50),"")</f>
        <v/>
      </c>
      <c r="O121" s="125" t="str">
        <f>IF(AND('Mapa final'!$AB$51="Media",'Mapa final'!$AD$51="Menor"),CONCATENATE("R16C",'Mapa final'!$R$51),"")</f>
        <v/>
      </c>
      <c r="P121" s="51" t="str">
        <f>IF(AND('Mapa final'!$AB$49="Media",'Mapa final'!$AD$49="Moderado"),CONCATENATE("R16C",'Mapa final'!$R$49),"")</f>
        <v>R16C1</v>
      </c>
      <c r="Q121" s="52" t="str">
        <f>IF(AND('Mapa final'!$AB$50="Media",'Mapa final'!$AD$50="Moderado"),CONCATENATE("R16C",'Mapa final'!$R$50),"")</f>
        <v/>
      </c>
      <c r="R121" s="125" t="str">
        <f>IF(AND('Mapa final'!$AB$51="Media",'Mapa final'!$AD$51="Moderado"),CONCATENATE("R16C",'Mapa final'!$R$51),"")</f>
        <v/>
      </c>
      <c r="S121" s="119" t="str">
        <f>IF(AND('Mapa final'!$AB$49="Media",'Mapa final'!$AD$49="Mayor"),CONCATENATE("R16C",'Mapa final'!$R$49),"")</f>
        <v/>
      </c>
      <c r="T121" s="44" t="str">
        <f>IF(AND('Mapa final'!$AB$50="Media",'Mapa final'!$AD$50="Mayor"),CONCATENATE("R16C",'Mapa final'!$R$50),"")</f>
        <v/>
      </c>
      <c r="U121" s="120" t="str">
        <f>IF(AND('Mapa final'!$AB$51="Media",'Mapa final'!$AD$51="Mayor"),CONCATENATE("R16C",'Mapa final'!$R$51),"")</f>
        <v/>
      </c>
      <c r="V121" s="45" t="str">
        <f>IF(AND('Mapa final'!$AB$49="Media",'Mapa final'!$AD$49="Catastrófico"),CONCATENATE("R16C",'Mapa final'!$R$49),"")</f>
        <v/>
      </c>
      <c r="W121" s="46" t="str">
        <f>IF(AND('Mapa final'!$AB$50="Media",'Mapa final'!$AD$50="Catastrófico"),CONCATENATE("R16C",'Mapa final'!$R$50),"")</f>
        <v/>
      </c>
      <c r="X121" s="114" t="str">
        <f>IF(AND('Mapa final'!$AB$51="Media",'Mapa final'!$AD$51="Catastrófico"),CONCATENATE("R16C",'Mapa final'!$R$51),"")</f>
        <v/>
      </c>
      <c r="Y121" s="58"/>
      <c r="Z121" s="398"/>
      <c r="AA121" s="399"/>
      <c r="AB121" s="399"/>
      <c r="AC121" s="399"/>
      <c r="AD121" s="399"/>
      <c r="AE121" s="400"/>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row>
    <row r="122" spans="1:61" ht="15" customHeight="1" x14ac:dyDescent="0.25">
      <c r="A122" s="58"/>
      <c r="B122" s="356"/>
      <c r="C122" s="356"/>
      <c r="D122" s="357"/>
      <c r="E122" s="371"/>
      <c r="F122" s="372"/>
      <c r="G122" s="372"/>
      <c r="H122" s="372"/>
      <c r="I122" s="370"/>
      <c r="J122" s="51" t="str">
        <f>IF(AND('Mapa final'!$AB$52="Media",'Mapa final'!$AD$52="Leve"),CONCATENATE("R17C",'Mapa final'!$R$52),"")</f>
        <v/>
      </c>
      <c r="K122" s="52" t="str">
        <f>IF(AND('Mapa final'!$AB$53="Media",'Mapa final'!$AD$53="Leve"),CONCATENATE("R17C",'Mapa final'!$R$53),"")</f>
        <v/>
      </c>
      <c r="L122" s="125" t="str">
        <f>IF(AND('Mapa final'!$AB$54="Media",'Mapa final'!$AD$54="Leve"),CONCATENATE("R17C",'Mapa final'!$R$54),"")</f>
        <v/>
      </c>
      <c r="M122" s="51" t="str">
        <f>IF(AND('Mapa final'!$AB$52="Media",'Mapa final'!$AD$52="Menor"),CONCATENATE("R17C",'Mapa final'!$R$52),"")</f>
        <v>R17C1</v>
      </c>
      <c r="N122" s="52" t="str">
        <f>IF(AND('Mapa final'!$AB$53="Media",'Mapa final'!$AD$53="Menor"),CONCATENATE("R17C",'Mapa final'!$R$53),"")</f>
        <v/>
      </c>
      <c r="O122" s="125" t="str">
        <f>IF(AND('Mapa final'!$AB$54="Media",'Mapa final'!$AD$54="Menor"),CONCATENATE("R17C",'Mapa final'!$R$54),"")</f>
        <v/>
      </c>
      <c r="P122" s="51" t="str">
        <f>IF(AND('Mapa final'!$AB$52="Media",'Mapa final'!$AD$52="Moderado"),CONCATENATE("R17C",'Mapa final'!$R$52),"")</f>
        <v/>
      </c>
      <c r="Q122" s="52" t="str">
        <f>IF(AND('Mapa final'!$AB$53="Media",'Mapa final'!$AD$53="Moderado"),CONCATENATE("R17C",'Mapa final'!$R$53),"")</f>
        <v/>
      </c>
      <c r="R122" s="125" t="str">
        <f>IF(AND('Mapa final'!$AB$54="Media",'Mapa final'!$AD$54="Moderado"),CONCATENATE("R17C",'Mapa final'!$R$54),"")</f>
        <v/>
      </c>
      <c r="S122" s="119" t="str">
        <f>IF(AND('Mapa final'!$AB$52="Media",'Mapa final'!$AD$52="Mayor"),CONCATENATE("R17C",'Mapa final'!$R$52),"")</f>
        <v/>
      </c>
      <c r="T122" s="44" t="str">
        <f>IF(AND('Mapa final'!$AB$53="Media",'Mapa final'!$AD$53="Mayor"),CONCATENATE("R17C",'Mapa final'!$R$53),"")</f>
        <v/>
      </c>
      <c r="U122" s="120" t="str">
        <f>IF(AND('Mapa final'!$AB$54="Media",'Mapa final'!$AD$54="Mayor"),CONCATENATE("R17C",'Mapa final'!$R$54),"")</f>
        <v/>
      </c>
      <c r="V122" s="45" t="str">
        <f>IF(AND('Mapa final'!$AB$52="Media",'Mapa final'!$AD$52="Catastrófico"),CONCATENATE("R17C",'Mapa final'!$R$52),"")</f>
        <v/>
      </c>
      <c r="W122" s="46" t="str">
        <f>IF(AND('Mapa final'!$AB$53="Media",'Mapa final'!$AD$53="Catastrófico"),CONCATENATE("R17C",'Mapa final'!$R$53),"")</f>
        <v/>
      </c>
      <c r="X122" s="114" t="str">
        <f>IF(AND('Mapa final'!$AB$54="Media",'Mapa final'!$AD$54="Catastrófico"),CONCATENATE("R17C",'Mapa final'!$R$54),"")</f>
        <v/>
      </c>
      <c r="Y122" s="58"/>
      <c r="Z122" s="398"/>
      <c r="AA122" s="399"/>
      <c r="AB122" s="399"/>
      <c r="AC122" s="399"/>
      <c r="AD122" s="399"/>
      <c r="AE122" s="400"/>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58"/>
    </row>
    <row r="123" spans="1:61" ht="15" customHeight="1" x14ac:dyDescent="0.25">
      <c r="A123" s="58"/>
      <c r="B123" s="356"/>
      <c r="C123" s="356"/>
      <c r="D123" s="357"/>
      <c r="E123" s="371"/>
      <c r="F123" s="372"/>
      <c r="G123" s="372"/>
      <c r="H123" s="372"/>
      <c r="I123" s="370"/>
      <c r="J123" s="51" t="str">
        <f>IF(AND('Mapa final'!$AB$55="Media",'Mapa final'!$AD$55="Leve"),CONCATENATE("R18C",'Mapa final'!$R$55),"")</f>
        <v/>
      </c>
      <c r="K123" s="52" t="str">
        <f>IF(AND('Mapa final'!$AB$56="Media",'Mapa final'!$AD$56="Leve"),CONCATENATE("R18C",'Mapa final'!$R$56),"")</f>
        <v/>
      </c>
      <c r="L123" s="125" t="str">
        <f>IF(AND('Mapa final'!$AB$57="Media",'Mapa final'!$AD$57="Leve"),CONCATENATE("R18C",'Mapa final'!$R$57),"")</f>
        <v/>
      </c>
      <c r="M123" s="51" t="str">
        <f>IF(AND('Mapa final'!$AB$55="Media",'Mapa final'!$AD$55="Menor"),CONCATENATE("R18C",'Mapa final'!$R$55),"")</f>
        <v/>
      </c>
      <c r="N123" s="52" t="str">
        <f>IF(AND('Mapa final'!$AB$56="Media",'Mapa final'!$AD$56="Menor"),CONCATENATE("R18C",'Mapa final'!$R$56),"")</f>
        <v/>
      </c>
      <c r="O123" s="125" t="str">
        <f>IF(AND('Mapa final'!$AB$57="Media",'Mapa final'!$AD$57="Menor"),CONCATENATE("R18C",'Mapa final'!$R$57),"")</f>
        <v/>
      </c>
      <c r="P123" s="51" t="str">
        <f>IF(AND('Mapa final'!$AB$55="Media",'Mapa final'!$AD$55="Moderado"),CONCATENATE("R18C",'Mapa final'!$R$55),"")</f>
        <v/>
      </c>
      <c r="Q123" s="52" t="str">
        <f>IF(AND('Mapa final'!$AB$56="Media",'Mapa final'!$AD$56="Moderado"),CONCATENATE("R18C",'Mapa final'!$R$56),"")</f>
        <v/>
      </c>
      <c r="R123" s="125" t="str">
        <f>IF(AND('Mapa final'!$AB$57="Media",'Mapa final'!$AD$57="Moderado"),CONCATENATE("R18C",'Mapa final'!$R$57),"")</f>
        <v/>
      </c>
      <c r="S123" s="119" t="str">
        <f>IF(AND('Mapa final'!$AB$55="Media",'Mapa final'!$AD$55="Mayor"),CONCATENATE("R18C",'Mapa final'!$R$55),"")</f>
        <v>R18C1</v>
      </c>
      <c r="T123" s="44" t="str">
        <f>IF(AND('Mapa final'!$AB$56="Media",'Mapa final'!$AD$56="Mayor"),CONCATENATE("R18C",'Mapa final'!$R$56),"")</f>
        <v/>
      </c>
      <c r="U123" s="120" t="str">
        <f>IF(AND('Mapa final'!$AB$57="Media",'Mapa final'!$AD$57="Mayor"),CONCATENATE("R18C",'Mapa final'!$R$57),"")</f>
        <v/>
      </c>
      <c r="V123" s="45" t="str">
        <f>IF(AND('Mapa final'!$AB$55="Media",'Mapa final'!$AD$55="Catastrófico"),CONCATENATE("R18C",'Mapa final'!$R$55),"")</f>
        <v/>
      </c>
      <c r="W123" s="46" t="str">
        <f>IF(AND('Mapa final'!$AB$56="Media",'Mapa final'!$AD$56="Catastrófico"),CONCATENATE("R18C",'Mapa final'!$R$56),"")</f>
        <v/>
      </c>
      <c r="X123" s="114" t="str">
        <f>IF(AND('Mapa final'!$AB$57="Media",'Mapa final'!$AD$57="Catastrófico"),CONCATENATE("R18C",'Mapa final'!$R$57),"")</f>
        <v/>
      </c>
      <c r="Y123" s="58"/>
      <c r="Z123" s="398"/>
      <c r="AA123" s="399"/>
      <c r="AB123" s="399"/>
      <c r="AC123" s="399"/>
      <c r="AD123" s="399"/>
      <c r="AE123" s="400"/>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c r="BI123" s="58"/>
    </row>
    <row r="124" spans="1:61" ht="15" customHeight="1" x14ac:dyDescent="0.25">
      <c r="A124" s="58"/>
      <c r="B124" s="356"/>
      <c r="C124" s="356"/>
      <c r="D124" s="357"/>
      <c r="E124" s="371"/>
      <c r="F124" s="372"/>
      <c r="G124" s="372"/>
      <c r="H124" s="372"/>
      <c r="I124" s="370"/>
      <c r="J124" s="51" t="str">
        <f>IF(AND('Mapa final'!$AB$58="Media",'Mapa final'!$AD$58="Leve"),CONCATENATE("R19C",'Mapa final'!$R$58),"")</f>
        <v/>
      </c>
      <c r="K124" s="52" t="str">
        <f>IF(AND('Mapa final'!$AB$59="Media",'Mapa final'!$AD$59="Leve"),CONCATENATE("R19C",'Mapa final'!$R$59),"")</f>
        <v/>
      </c>
      <c r="L124" s="125" t="str">
        <f>IF(AND('Mapa final'!$AB$60="Media",'Mapa final'!$AD$60="Leve"),CONCATENATE("R19C",'Mapa final'!$R$60),"")</f>
        <v/>
      </c>
      <c r="M124" s="51" t="str">
        <f>IF(AND('Mapa final'!$AB$58="Media",'Mapa final'!$AD$58="Menor"),CONCATENATE("R19C",'Mapa final'!$R$58),"")</f>
        <v/>
      </c>
      <c r="N124" s="52" t="str">
        <f>IF(AND('Mapa final'!$AB$59="Media",'Mapa final'!$AD$59="Menor"),CONCATENATE("R19C",'Mapa final'!$R$59),"")</f>
        <v/>
      </c>
      <c r="O124" s="125" t="str">
        <f>IF(AND('Mapa final'!$AB$60="Media",'Mapa final'!$AD$60="Menor"),CONCATENATE("R19C",'Mapa final'!$R$60),"")</f>
        <v/>
      </c>
      <c r="P124" s="51" t="str">
        <f>IF(AND('Mapa final'!$AB$58="Media",'Mapa final'!$AD$58="Moderado"),CONCATENATE("R19C",'Mapa final'!$R$58),"")</f>
        <v>R19C1</v>
      </c>
      <c r="Q124" s="52" t="str">
        <f>IF(AND('Mapa final'!$AB$59="Media",'Mapa final'!$AD$59="Moderado"),CONCATENATE("R19C",'Mapa final'!$R$59),"")</f>
        <v/>
      </c>
      <c r="R124" s="125" t="str">
        <f>IF(AND('Mapa final'!$AB$60="Media",'Mapa final'!$AD$60="Moderado"),CONCATENATE("R19C",'Mapa final'!$R$60),"")</f>
        <v/>
      </c>
      <c r="S124" s="119" t="str">
        <f>IF(AND('Mapa final'!$AB$58="Media",'Mapa final'!$AD$58="Mayor"),CONCATENATE("R19C",'Mapa final'!$R$58),"")</f>
        <v/>
      </c>
      <c r="T124" s="44" t="str">
        <f>IF(AND('Mapa final'!$AB$59="Media",'Mapa final'!$AD$59="Mayor"),CONCATENATE("R19C",'Mapa final'!$R$59),"")</f>
        <v/>
      </c>
      <c r="U124" s="120" t="str">
        <f>IF(AND('Mapa final'!$AB$60="Media",'Mapa final'!$AD$60="Mayor"),CONCATENATE("R19C",'Mapa final'!$R$60),"")</f>
        <v/>
      </c>
      <c r="V124" s="45" t="str">
        <f>IF(AND('Mapa final'!$AB$58="Media",'Mapa final'!$AD$58="Catastrófico"),CONCATENATE("R19C",'Mapa final'!$R$58),"")</f>
        <v/>
      </c>
      <c r="W124" s="46" t="str">
        <f>IF(AND('Mapa final'!$AB$59="Media",'Mapa final'!$AD$59="Catastrófico"),CONCATENATE("R19C",'Mapa final'!$R$59),"")</f>
        <v/>
      </c>
      <c r="X124" s="114" t="str">
        <f>IF(AND('Mapa final'!$AB$60="Media",'Mapa final'!$AD$60="Catastrófico"),CONCATENATE("R19C",'Mapa final'!$R$60),"")</f>
        <v/>
      </c>
      <c r="Y124" s="58"/>
      <c r="Z124" s="398"/>
      <c r="AA124" s="399"/>
      <c r="AB124" s="399"/>
      <c r="AC124" s="399"/>
      <c r="AD124" s="399"/>
      <c r="AE124" s="400"/>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row>
    <row r="125" spans="1:61" ht="15" customHeight="1" x14ac:dyDescent="0.25">
      <c r="A125" s="58"/>
      <c r="B125" s="356"/>
      <c r="C125" s="356"/>
      <c r="D125" s="357"/>
      <c r="E125" s="371"/>
      <c r="F125" s="372"/>
      <c r="G125" s="372"/>
      <c r="H125" s="372"/>
      <c r="I125" s="370"/>
      <c r="J125" s="51" t="str">
        <f>IF(AND('Mapa final'!$AB$61="Media",'Mapa final'!$AD$61="Leve"),CONCATENATE("R20C",'Mapa final'!$R$61),"")</f>
        <v/>
      </c>
      <c r="K125" s="52" t="str">
        <f>IF(AND('Mapa final'!$AB$62="Media",'Mapa final'!$AD$62="Leve"),CONCATENATE("R20C",'Mapa final'!$R$62),"")</f>
        <v/>
      </c>
      <c r="L125" s="125" t="str">
        <f>IF(AND('Mapa final'!$AB$63="Media",'Mapa final'!$AD$63="Leve"),CONCATENATE("R20C",'Mapa final'!$R$63),"")</f>
        <v/>
      </c>
      <c r="M125" s="51" t="str">
        <f>IF(AND('Mapa final'!$AB$61="Media",'Mapa final'!$AD$61="Menor"),CONCATENATE("R20C",'Mapa final'!$R$61),"")</f>
        <v/>
      </c>
      <c r="N125" s="52" t="str">
        <f>IF(AND('Mapa final'!$AB$62="Media",'Mapa final'!$AD$62="Menor"),CONCATENATE("R20C",'Mapa final'!$R$62),"")</f>
        <v/>
      </c>
      <c r="O125" s="125" t="str">
        <f>IF(AND('Mapa final'!$AB$63="Media",'Mapa final'!$AD$63="Menor"),CONCATENATE("R20C",'Mapa final'!$R$63),"")</f>
        <v/>
      </c>
      <c r="P125" s="51" t="str">
        <f>IF(AND('Mapa final'!$AB$61="Media",'Mapa final'!$AD$61="Moderado"),CONCATENATE("R20C",'Mapa final'!$R$61),"")</f>
        <v>R20C1</v>
      </c>
      <c r="Q125" s="52" t="str">
        <f>IF(AND('Mapa final'!$AB$62="Media",'Mapa final'!$AD$62="Moderado"),CONCATENATE("R20C",'Mapa final'!$R$62),"")</f>
        <v/>
      </c>
      <c r="R125" s="125" t="str">
        <f>IF(AND('Mapa final'!$AB$63="Media",'Mapa final'!$AD$63="Moderado"),CONCATENATE("R20C",'Mapa final'!$R$63),"")</f>
        <v/>
      </c>
      <c r="S125" s="119" t="str">
        <f>IF(AND('Mapa final'!$AB$61="Media",'Mapa final'!$AD$61="Mayor"),CONCATENATE("R20C",'Mapa final'!$R$61),"")</f>
        <v/>
      </c>
      <c r="T125" s="44" t="str">
        <f>IF(AND('Mapa final'!$AB$62="Media",'Mapa final'!$AD$62="Mayor"),CONCATENATE("R20C",'Mapa final'!$R$62),"")</f>
        <v/>
      </c>
      <c r="U125" s="120" t="str">
        <f>IF(AND('Mapa final'!$AB$63="Media",'Mapa final'!$AD$63="Mayor"),CONCATENATE("R20C",'Mapa final'!$R$63),"")</f>
        <v/>
      </c>
      <c r="V125" s="45" t="str">
        <f>IF(AND('Mapa final'!$AB$61="Media",'Mapa final'!$AD$61="Catastrófico"),CONCATENATE("R20C",'Mapa final'!$R$61),"")</f>
        <v/>
      </c>
      <c r="W125" s="46" t="str">
        <f>IF(AND('Mapa final'!$AB$62="Media",'Mapa final'!$AD$62="Catastrófico"),CONCATENATE("R20C",'Mapa final'!$R$62),"")</f>
        <v/>
      </c>
      <c r="X125" s="114" t="str">
        <f>IF(AND('Mapa final'!$AB$63="Media",'Mapa final'!$AD$63="Catastrófico"),CONCATENATE("R20C",'Mapa final'!$R$63),"")</f>
        <v/>
      </c>
      <c r="Y125" s="58"/>
      <c r="Z125" s="398"/>
      <c r="AA125" s="399"/>
      <c r="AB125" s="399"/>
      <c r="AC125" s="399"/>
      <c r="AD125" s="399"/>
      <c r="AE125" s="400"/>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row>
    <row r="126" spans="1:61" ht="15" customHeight="1" x14ac:dyDescent="0.25">
      <c r="A126" s="58"/>
      <c r="B126" s="356"/>
      <c r="C126" s="356"/>
      <c r="D126" s="357"/>
      <c r="E126" s="371"/>
      <c r="F126" s="372"/>
      <c r="G126" s="372"/>
      <c r="H126" s="372"/>
      <c r="I126" s="370"/>
      <c r="J126" s="51" t="str">
        <f>IF(AND('Mapa final'!$AB$64="Media",'Mapa final'!$AD$64="Leve"),CONCATENATE("R21C",'Mapa final'!$R$64),"")</f>
        <v/>
      </c>
      <c r="K126" s="52" t="str">
        <f>IF(AND('Mapa final'!$AB$65="Media",'Mapa final'!$AD$65="Leve"),CONCATENATE("R21C",'Mapa final'!$R$65),"")</f>
        <v/>
      </c>
      <c r="L126" s="125" t="str">
        <f>IF(AND('Mapa final'!$AB$66="Media",'Mapa final'!$AD$66="Leve"),CONCATENATE("R21C",'Mapa final'!$R$66),"")</f>
        <v/>
      </c>
      <c r="M126" s="51" t="str">
        <f>IF(AND('Mapa final'!$AB$64="Media",'Mapa final'!$AD$64="Menor"),CONCATENATE("R21C",'Mapa final'!$R$64),"")</f>
        <v/>
      </c>
      <c r="N126" s="52" t="str">
        <f>IF(AND('Mapa final'!$AB$65="Media",'Mapa final'!$AD$65="Menor"),CONCATENATE("R21C",'Mapa final'!$R$65),"")</f>
        <v/>
      </c>
      <c r="O126" s="125" t="str">
        <f>IF(AND('Mapa final'!$AB$66="Media",'Mapa final'!$AD$66="Menor"),CONCATENATE("R21C",'Mapa final'!$R$66),"")</f>
        <v/>
      </c>
      <c r="P126" s="51" t="str">
        <f>IF(AND('Mapa final'!$AB$64="Media",'Mapa final'!$AD$64="Moderado"),CONCATENATE("R21C",'Mapa final'!$R$64),"")</f>
        <v/>
      </c>
      <c r="Q126" s="52" t="str">
        <f>IF(AND('Mapa final'!$AB$65="Media",'Mapa final'!$AD$65="Moderado"),CONCATENATE("R21C",'Mapa final'!$R$65),"")</f>
        <v/>
      </c>
      <c r="R126" s="125" t="str">
        <f>IF(AND('Mapa final'!$AB$66="Media",'Mapa final'!$AD$66="Moderado"),CONCATENATE("R21C",'Mapa final'!$R$66),"")</f>
        <v/>
      </c>
      <c r="S126" s="119" t="str">
        <f>IF(AND('Mapa final'!$AB$64="Media",'Mapa final'!$AD$64="Mayor"),CONCATENATE("R21C",'Mapa final'!$R$64),"")</f>
        <v/>
      </c>
      <c r="T126" s="44" t="str">
        <f>IF(AND('Mapa final'!$AB$65="Media",'Mapa final'!$AD$65="Mayor"),CONCATENATE("R21C",'Mapa final'!$R$65),"")</f>
        <v/>
      </c>
      <c r="U126" s="120" t="str">
        <f>IF(AND('Mapa final'!$AB$66="Media",'Mapa final'!$AD$66="Mayor"),CONCATENATE("R21C",'Mapa final'!$R$66),"")</f>
        <v/>
      </c>
      <c r="V126" s="45" t="str">
        <f>IF(AND('Mapa final'!$AB$64="Media",'Mapa final'!$AD$64="Catastrófico"),CONCATENATE("R21C",'Mapa final'!$R$64),"")</f>
        <v/>
      </c>
      <c r="W126" s="46" t="str">
        <f>IF(AND('Mapa final'!$AB$65="Media",'Mapa final'!$AD$65="Catastrófico"),CONCATENATE("R21C",'Mapa final'!$R$65),"")</f>
        <v/>
      </c>
      <c r="X126" s="114" t="str">
        <f>IF(AND('Mapa final'!$AB$66="Media",'Mapa final'!$AD$66="Catastrófico"),CONCATENATE("R21C",'Mapa final'!$R$66),"")</f>
        <v/>
      </c>
      <c r="Y126" s="58"/>
      <c r="Z126" s="398"/>
      <c r="AA126" s="399"/>
      <c r="AB126" s="399"/>
      <c r="AC126" s="399"/>
      <c r="AD126" s="399"/>
      <c r="AE126" s="400"/>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c r="BI126" s="58"/>
    </row>
    <row r="127" spans="1:61" ht="15" customHeight="1" x14ac:dyDescent="0.25">
      <c r="A127" s="58"/>
      <c r="B127" s="356"/>
      <c r="C127" s="356"/>
      <c r="D127" s="357"/>
      <c r="E127" s="371"/>
      <c r="F127" s="372"/>
      <c r="G127" s="372"/>
      <c r="H127" s="372"/>
      <c r="I127" s="370"/>
      <c r="J127" s="51" t="str">
        <f>IF(AND('Mapa final'!$AB$67="Media",'Mapa final'!$AD$67="Leve"),CONCATENATE("R22C",'Mapa final'!$R$67),"")</f>
        <v/>
      </c>
      <c r="K127" s="52" t="str">
        <f>IF(AND('Mapa final'!$AB$68="Media",'Mapa final'!$AD$68="Leve"),CONCATENATE("R22C",'Mapa final'!$R$68),"")</f>
        <v/>
      </c>
      <c r="L127" s="125" t="str">
        <f>IF(AND('Mapa final'!$AB$69="Media",'Mapa final'!$AD$69="Leve"),CONCATENATE("R22C",'Mapa final'!$R$69),"")</f>
        <v/>
      </c>
      <c r="M127" s="51" t="str">
        <f>IF(AND('Mapa final'!$AB$67="Media",'Mapa final'!$AD$67="Menor"),CONCATENATE("R22C",'Mapa final'!$R$67),"")</f>
        <v/>
      </c>
      <c r="N127" s="52" t="str">
        <f>IF(AND('Mapa final'!$AB$68="Media",'Mapa final'!$AD$68="Menor"),CONCATENATE("R22C",'Mapa final'!$R$68),"")</f>
        <v/>
      </c>
      <c r="O127" s="125" t="str">
        <f>IF(AND('Mapa final'!$AB$69="Media",'Mapa final'!$AD$69="Menor"),CONCATENATE("R22C",'Mapa final'!$R$69),"")</f>
        <v/>
      </c>
      <c r="P127" s="51" t="str">
        <f>IF(AND('Mapa final'!$AB$67="Media",'Mapa final'!$AD$67="Moderado"),CONCATENATE("R22C",'Mapa final'!$R$67),"")</f>
        <v/>
      </c>
      <c r="Q127" s="52" t="str">
        <f>IF(AND('Mapa final'!$AB$68="Media",'Mapa final'!$AD$68="Moderado"),CONCATENATE("R22C",'Mapa final'!$R$68),"")</f>
        <v/>
      </c>
      <c r="R127" s="125" t="str">
        <f>IF(AND('Mapa final'!$AB$69="Media",'Mapa final'!$AD$69="Moderado"),CONCATENATE("R22C",'Mapa final'!$R$69),"")</f>
        <v/>
      </c>
      <c r="S127" s="119" t="str">
        <f>IF(AND('Mapa final'!$AB$67="Media",'Mapa final'!$AD$67="Mayor"),CONCATENATE("R22C",'Mapa final'!$R$67),"")</f>
        <v/>
      </c>
      <c r="T127" s="44" t="str">
        <f>IF(AND('Mapa final'!$AB$68="Media",'Mapa final'!$AD$68="Mayor"),CONCATENATE("R22C",'Mapa final'!$R$68),"")</f>
        <v/>
      </c>
      <c r="U127" s="120" t="str">
        <f>IF(AND('Mapa final'!$AB$69="Media",'Mapa final'!$AD$69="Mayor"),CONCATENATE("R22C",'Mapa final'!$R$69),"")</f>
        <v/>
      </c>
      <c r="V127" s="45" t="str">
        <f>IF(AND('Mapa final'!$AB$67="Media",'Mapa final'!$AD$67="Catastrófico"),CONCATENATE("R22C",'Mapa final'!$R$67),"")</f>
        <v/>
      </c>
      <c r="W127" s="46" t="str">
        <f>IF(AND('Mapa final'!$AB$68="Media",'Mapa final'!$AD$68="Catastrófico"),CONCATENATE("R22C",'Mapa final'!$R$68),"")</f>
        <v/>
      </c>
      <c r="X127" s="114" t="str">
        <f>IF(AND('Mapa final'!$AB$69="Media",'Mapa final'!$AD$69="Catastrófico"),CONCATENATE("R22C",'Mapa final'!$R$69),"")</f>
        <v/>
      </c>
      <c r="Y127" s="58"/>
      <c r="Z127" s="398"/>
      <c r="AA127" s="399"/>
      <c r="AB127" s="399"/>
      <c r="AC127" s="399"/>
      <c r="AD127" s="399"/>
      <c r="AE127" s="400"/>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row>
    <row r="128" spans="1:61" ht="15" customHeight="1" x14ac:dyDescent="0.25">
      <c r="A128" s="58"/>
      <c r="B128" s="356"/>
      <c r="C128" s="356"/>
      <c r="D128" s="357"/>
      <c r="E128" s="371"/>
      <c r="F128" s="372"/>
      <c r="G128" s="372"/>
      <c r="H128" s="372"/>
      <c r="I128" s="370"/>
      <c r="J128" s="51" t="str">
        <f>IF(AND('Mapa final'!$AB$70="Media",'Mapa final'!$AD$70="Leve"),CONCATENATE("R23C",'Mapa final'!$R$70),"")</f>
        <v/>
      </c>
      <c r="K128" s="52" t="str">
        <f>IF(AND('Mapa final'!$AB$71="Media",'Mapa final'!$AD$71="Leve"),CONCATENATE("R23C",'Mapa final'!$R$71),"")</f>
        <v/>
      </c>
      <c r="L128" s="125" t="str">
        <f>IF(AND('Mapa final'!$AB$72="Media",'Mapa final'!$AD$72="Leve"),CONCATENATE("R23C",'Mapa final'!$R$72),"")</f>
        <v/>
      </c>
      <c r="M128" s="51" t="str">
        <f>IF(AND('Mapa final'!$AB$70="Media",'Mapa final'!$AD$70="Menor"),CONCATENATE("R23C",'Mapa final'!$R$70),"")</f>
        <v/>
      </c>
      <c r="N128" s="52" t="str">
        <f>IF(AND('Mapa final'!$AB$71="Media",'Mapa final'!$AD$71="Menor"),CONCATENATE("R23C",'Mapa final'!$R$71),"")</f>
        <v/>
      </c>
      <c r="O128" s="125" t="str">
        <f>IF(AND('Mapa final'!$AB$72="Media",'Mapa final'!$AD$72="Menor"),CONCATENATE("R23C",'Mapa final'!$R$72),"")</f>
        <v/>
      </c>
      <c r="P128" s="51" t="str">
        <f>IF(AND('Mapa final'!$AB$70="Media",'Mapa final'!$AD$70="Moderado"),CONCATENATE("R23C",'Mapa final'!$R$70),"")</f>
        <v/>
      </c>
      <c r="Q128" s="52" t="str">
        <f>IF(AND('Mapa final'!$AB$71="Media",'Mapa final'!$AD$71="Moderado"),CONCATENATE("R23C",'Mapa final'!$R$71),"")</f>
        <v/>
      </c>
      <c r="R128" s="125" t="str">
        <f>IF(AND('Mapa final'!$AB$72="Media",'Mapa final'!$AD$72="Moderado"),CONCATENATE("R23C",'Mapa final'!$R$72),"")</f>
        <v/>
      </c>
      <c r="S128" s="119" t="str">
        <f>IF(AND('Mapa final'!$AB$70="Media",'Mapa final'!$AD$70="Mayor"),CONCATENATE("R23C",'Mapa final'!$R$70),"")</f>
        <v/>
      </c>
      <c r="T128" s="44" t="str">
        <f>IF(AND('Mapa final'!$AB$71="Media",'Mapa final'!$AD$71="Mayor"),CONCATENATE("R23C",'Mapa final'!$R$71),"")</f>
        <v/>
      </c>
      <c r="U128" s="120" t="str">
        <f>IF(AND('Mapa final'!$AB$72="Media",'Mapa final'!$AD$72="Mayor"),CONCATENATE("R23C",'Mapa final'!$R$72),"")</f>
        <v/>
      </c>
      <c r="V128" s="45" t="str">
        <f>IF(AND('Mapa final'!$AB$70="Media",'Mapa final'!$AD$70="Catastrófico"),CONCATENATE("R23C",'Mapa final'!$R$70),"")</f>
        <v/>
      </c>
      <c r="W128" s="46" t="str">
        <f>IF(AND('Mapa final'!$AB$71="Media",'Mapa final'!$AD$71="Catastrófico"),CONCATENATE("R23C",'Mapa final'!$R$71),"")</f>
        <v/>
      </c>
      <c r="X128" s="114" t="str">
        <f>IF(AND('Mapa final'!$AB$72="Media",'Mapa final'!$AD$72="Catastrófico"),CONCATENATE("R23C",'Mapa final'!$R$72),"")</f>
        <v/>
      </c>
      <c r="Y128" s="58"/>
      <c r="Z128" s="398"/>
      <c r="AA128" s="399"/>
      <c r="AB128" s="399"/>
      <c r="AC128" s="399"/>
      <c r="AD128" s="399"/>
      <c r="AE128" s="400"/>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row>
    <row r="129" spans="1:61" ht="15" customHeight="1" x14ac:dyDescent="0.25">
      <c r="A129" s="58"/>
      <c r="B129" s="356"/>
      <c r="C129" s="356"/>
      <c r="D129" s="357"/>
      <c r="E129" s="371"/>
      <c r="F129" s="372"/>
      <c r="G129" s="372"/>
      <c r="H129" s="372"/>
      <c r="I129" s="370"/>
      <c r="J129" s="51" t="str">
        <f>IF(AND('Mapa final'!$AB$73="Media",'Mapa final'!$AD$73="Leve"),CONCATENATE("R24C",'Mapa final'!$R$73),"")</f>
        <v/>
      </c>
      <c r="K129" s="52" t="str">
        <f>IF(AND('Mapa final'!$AB$74="Media",'Mapa final'!$AD$74="Leve"),CONCATENATE("R24C",'Mapa final'!$R$74),"")</f>
        <v/>
      </c>
      <c r="L129" s="125" t="str">
        <f>IF(AND('Mapa final'!$AB$75="Media",'Mapa final'!$AD$75="Leve"),CONCATENATE("R24C",'Mapa final'!$R$75),"")</f>
        <v/>
      </c>
      <c r="M129" s="51" t="str">
        <f>IF(AND('Mapa final'!$AB$73="Media",'Mapa final'!$AD$73="Menor"),CONCATENATE("R24C",'Mapa final'!$R$73),"")</f>
        <v/>
      </c>
      <c r="N129" s="52" t="str">
        <f>IF(AND('Mapa final'!$AB$74="Media",'Mapa final'!$AD$74="Menor"),CONCATENATE("R24C",'Mapa final'!$R$74),"")</f>
        <v/>
      </c>
      <c r="O129" s="125" t="str">
        <f>IF(AND('Mapa final'!$AB$75="Media",'Mapa final'!$AD$75="Menor"),CONCATENATE("R24C",'Mapa final'!$R$75),"")</f>
        <v/>
      </c>
      <c r="P129" s="51" t="str">
        <f>IF(AND('Mapa final'!$AB$73="Media",'Mapa final'!$AD$73="Moderado"),CONCATENATE("R24C",'Mapa final'!$R$73),"")</f>
        <v/>
      </c>
      <c r="Q129" s="52" t="str">
        <f>IF(AND('Mapa final'!$AB$74="Media",'Mapa final'!$AD$74="Moderado"),CONCATENATE("R24C",'Mapa final'!$R$74),"")</f>
        <v/>
      </c>
      <c r="R129" s="125" t="str">
        <f>IF(AND('Mapa final'!$AB$75="Media",'Mapa final'!$AD$75="Moderado"),CONCATENATE("R24C",'Mapa final'!$R$75),"")</f>
        <v/>
      </c>
      <c r="S129" s="119" t="str">
        <f>IF(AND('Mapa final'!$AB$73="Media",'Mapa final'!$AD$73="Mayor"),CONCATENATE("R24C",'Mapa final'!$R$73),"")</f>
        <v/>
      </c>
      <c r="T129" s="44" t="str">
        <f>IF(AND('Mapa final'!$AB$74="Media",'Mapa final'!$AD$74="Mayor"),CONCATENATE("R24C",'Mapa final'!$R$74),"")</f>
        <v/>
      </c>
      <c r="U129" s="120" t="str">
        <f>IF(AND('Mapa final'!$AB$75="Media",'Mapa final'!$AD$75="Mayor"),CONCATENATE("R24C",'Mapa final'!$R$75),"")</f>
        <v/>
      </c>
      <c r="V129" s="45" t="str">
        <f>IF(AND('Mapa final'!$AB$73="Media",'Mapa final'!$AD$73="Catastrófico"),CONCATENATE("R24C",'Mapa final'!$R$73),"")</f>
        <v/>
      </c>
      <c r="W129" s="46" t="str">
        <f>IF(AND('Mapa final'!$AB$74="Media",'Mapa final'!$AD$74="Catastrófico"),CONCATENATE("R24C",'Mapa final'!$R$74),"")</f>
        <v/>
      </c>
      <c r="X129" s="114" t="str">
        <f>IF(AND('Mapa final'!$AB$75="Media",'Mapa final'!$AD$75="Catastrófico"),CONCATENATE("R24C",'Mapa final'!$R$75),"")</f>
        <v/>
      </c>
      <c r="Y129" s="58"/>
      <c r="Z129" s="398"/>
      <c r="AA129" s="399"/>
      <c r="AB129" s="399"/>
      <c r="AC129" s="399"/>
      <c r="AD129" s="399"/>
      <c r="AE129" s="400"/>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row>
    <row r="130" spans="1:61" ht="15" customHeight="1" x14ac:dyDescent="0.25">
      <c r="A130" s="58"/>
      <c r="B130" s="356"/>
      <c r="C130" s="356"/>
      <c r="D130" s="357"/>
      <c r="E130" s="371"/>
      <c r="F130" s="372"/>
      <c r="G130" s="372"/>
      <c r="H130" s="372"/>
      <c r="I130" s="370"/>
      <c r="J130" s="51" t="str">
        <f>IF(AND('Mapa final'!$AB$76="Media",'Mapa final'!$AD$76="Leve"),CONCATENATE("R25C",'Mapa final'!$R$76),"")</f>
        <v/>
      </c>
      <c r="K130" s="52" t="str">
        <f>IF(AND('Mapa final'!$AB$77="Media",'Mapa final'!$AD$77="Leve"),CONCATENATE("R25C",'Mapa final'!$R$77),"")</f>
        <v/>
      </c>
      <c r="L130" s="125" t="str">
        <f>IF(AND('Mapa final'!$AB$78="Media",'Mapa final'!$AD$78="Leve"),CONCATENATE("R25C",'Mapa final'!$R$78),"")</f>
        <v/>
      </c>
      <c r="M130" s="51" t="str">
        <f>IF(AND('Mapa final'!$AB$76="Media",'Mapa final'!$AD$76="Menor"),CONCATENATE("R25C",'Mapa final'!$R$76),"")</f>
        <v/>
      </c>
      <c r="N130" s="52" t="str">
        <f>IF(AND('Mapa final'!$AB$77="Media",'Mapa final'!$AD$77="Menor"),CONCATENATE("R25C",'Mapa final'!$R$77),"")</f>
        <v/>
      </c>
      <c r="O130" s="125" t="str">
        <f>IF(AND('Mapa final'!$AB$78="Media",'Mapa final'!$AD$78="Menor"),CONCATENATE("R25C",'Mapa final'!$R$78),"")</f>
        <v/>
      </c>
      <c r="P130" s="51" t="str">
        <f>IF(AND('Mapa final'!$AB$76="Media",'Mapa final'!$AD$76="Moderado"),CONCATENATE("R25C",'Mapa final'!$R$76),"")</f>
        <v/>
      </c>
      <c r="Q130" s="52" t="str">
        <f>IF(AND('Mapa final'!$AB$77="Media",'Mapa final'!$AD$77="Moderado"),CONCATENATE("R25C",'Mapa final'!$R$77),"")</f>
        <v/>
      </c>
      <c r="R130" s="125" t="str">
        <f>IF(AND('Mapa final'!$AB$78="Media",'Mapa final'!$AD$78="Moderado"),CONCATENATE("R25C",'Mapa final'!$R$78),"")</f>
        <v/>
      </c>
      <c r="S130" s="119" t="str">
        <f>IF(AND('Mapa final'!$AB$76="Media",'Mapa final'!$AD$76="Mayor"),CONCATENATE("R25C",'Mapa final'!$R$76),"")</f>
        <v/>
      </c>
      <c r="T130" s="44" t="str">
        <f>IF(AND('Mapa final'!$AB$77="Media",'Mapa final'!$AD$77="Mayor"),CONCATENATE("R25C",'Mapa final'!$R$77),"")</f>
        <v/>
      </c>
      <c r="U130" s="120" t="str">
        <f>IF(AND('Mapa final'!$AB$78="Media",'Mapa final'!$AD$78="Mayor"),CONCATENATE("R25C",'Mapa final'!$R$78),"")</f>
        <v/>
      </c>
      <c r="V130" s="45" t="str">
        <f>IF(AND('Mapa final'!$AB$76="Media",'Mapa final'!$AD$76="Catastrófico"),CONCATENATE("R25C",'Mapa final'!$R$76),"")</f>
        <v/>
      </c>
      <c r="W130" s="46" t="str">
        <f>IF(AND('Mapa final'!$AB$77="Media",'Mapa final'!$AD$77="Catastrófico"),CONCATENATE("R25C",'Mapa final'!$R$77),"")</f>
        <v/>
      </c>
      <c r="X130" s="114" t="str">
        <f>IF(AND('Mapa final'!$AB$78="Media",'Mapa final'!$AD$78="Catastrófico"),CONCATENATE("R25C",'Mapa final'!$R$78),"")</f>
        <v/>
      </c>
      <c r="Y130" s="58"/>
      <c r="Z130" s="398"/>
      <c r="AA130" s="399"/>
      <c r="AB130" s="399"/>
      <c r="AC130" s="399"/>
      <c r="AD130" s="399"/>
      <c r="AE130" s="400"/>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row>
    <row r="131" spans="1:61" ht="15" customHeight="1" x14ac:dyDescent="0.25">
      <c r="A131" s="58"/>
      <c r="B131" s="356"/>
      <c r="C131" s="356"/>
      <c r="D131" s="357"/>
      <c r="E131" s="371"/>
      <c r="F131" s="372"/>
      <c r="G131" s="372"/>
      <c r="H131" s="372"/>
      <c r="I131" s="370"/>
      <c r="J131" s="51" t="str">
        <f>IF(AND('Mapa final'!$AB$79="Media",'Mapa final'!$AD$79="Leve"),CONCATENATE("R26C",'Mapa final'!$R$79),"")</f>
        <v/>
      </c>
      <c r="K131" s="52" t="str">
        <f>IF(AND('Mapa final'!$AB$80="Media",'Mapa final'!$AD$80="Leve"),CONCATENATE("R26C",'Mapa final'!$R$80),"")</f>
        <v/>
      </c>
      <c r="L131" s="125" t="str">
        <f>IF(AND('Mapa final'!$AB$81="Media",'Mapa final'!$AD$81="Leve"),CONCATENATE("R26C",'Mapa final'!$R$81),"")</f>
        <v/>
      </c>
      <c r="M131" s="51" t="str">
        <f>IF(AND('Mapa final'!$AB$79="Media",'Mapa final'!$AD$79="Menor"),CONCATENATE("R26C",'Mapa final'!$R$79),"")</f>
        <v/>
      </c>
      <c r="N131" s="52" t="str">
        <f>IF(AND('Mapa final'!$AB$80="Media",'Mapa final'!$AD$80="Menor"),CONCATENATE("R26C",'Mapa final'!$R$80),"")</f>
        <v/>
      </c>
      <c r="O131" s="125" t="str">
        <f>IF(AND('Mapa final'!$AB$81="Media",'Mapa final'!$AD$81="Menor"),CONCATENATE("R26C",'Mapa final'!$R$81),"")</f>
        <v/>
      </c>
      <c r="P131" s="51" t="str">
        <f>IF(AND('Mapa final'!$AB$79="Media",'Mapa final'!$AD$79="Moderado"),CONCATENATE("R26C",'Mapa final'!$R$79),"")</f>
        <v/>
      </c>
      <c r="Q131" s="52" t="str">
        <f>IF(AND('Mapa final'!$AB$80="Media",'Mapa final'!$AD$80="Moderado"),CONCATENATE("R26C",'Mapa final'!$R$80),"")</f>
        <v/>
      </c>
      <c r="R131" s="125" t="str">
        <f>IF(AND('Mapa final'!$AB$81="Media",'Mapa final'!$AD$81="Moderado"),CONCATENATE("R26C",'Mapa final'!$R$81),"")</f>
        <v/>
      </c>
      <c r="S131" s="119" t="str">
        <f>IF(AND('Mapa final'!$AB$79="Media",'Mapa final'!$AD$79="Mayor"),CONCATENATE("R26C",'Mapa final'!$R$79),"")</f>
        <v/>
      </c>
      <c r="T131" s="44" t="str">
        <f>IF(AND('Mapa final'!$AB$80="Media",'Mapa final'!$AD$80="Mayor"),CONCATENATE("R26C",'Mapa final'!$R$80),"")</f>
        <v/>
      </c>
      <c r="U131" s="120" t="str">
        <f>IF(AND('Mapa final'!$AB$81="Media",'Mapa final'!$AD$81="Mayor"),CONCATENATE("R26C",'Mapa final'!$R$81),"")</f>
        <v/>
      </c>
      <c r="V131" s="45" t="str">
        <f>IF(AND('Mapa final'!$AB$79="Media",'Mapa final'!$AD$79="Catastrófico"),CONCATENATE("R26C",'Mapa final'!$R$79),"")</f>
        <v/>
      </c>
      <c r="W131" s="46" t="str">
        <f>IF(AND('Mapa final'!$AB$80="Media",'Mapa final'!$AD$80="Catastrófico"),CONCATENATE("R26C",'Mapa final'!$R$80),"")</f>
        <v/>
      </c>
      <c r="X131" s="114" t="str">
        <f>IF(AND('Mapa final'!$AB$81="Media",'Mapa final'!$AD$81="Catastrófico"),CONCATENATE("R26C",'Mapa final'!$R$81),"")</f>
        <v/>
      </c>
      <c r="Y131" s="58"/>
      <c r="Z131" s="398"/>
      <c r="AA131" s="399"/>
      <c r="AB131" s="399"/>
      <c r="AC131" s="399"/>
      <c r="AD131" s="399"/>
      <c r="AE131" s="400"/>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c r="BI131" s="58"/>
    </row>
    <row r="132" spans="1:61" ht="15" customHeight="1" x14ac:dyDescent="0.25">
      <c r="A132" s="58"/>
      <c r="B132" s="356"/>
      <c r="C132" s="356"/>
      <c r="D132" s="357"/>
      <c r="E132" s="371"/>
      <c r="F132" s="372"/>
      <c r="G132" s="372"/>
      <c r="H132" s="372"/>
      <c r="I132" s="370"/>
      <c r="J132" s="51" t="str">
        <f>IF(AND('Mapa final'!$AB$82="Media",'Mapa final'!$AD$82="Leve"),CONCATENATE("R27C",'Mapa final'!$R$82),"")</f>
        <v/>
      </c>
      <c r="K132" s="52" t="str">
        <f>IF(AND('Mapa final'!$AB$83="Media",'Mapa final'!$AD$83="Leve"),CONCATENATE("R27C",'Mapa final'!$R$83),"")</f>
        <v/>
      </c>
      <c r="L132" s="125" t="str">
        <f>IF(AND('Mapa final'!$AB$84="Media",'Mapa final'!$AD$84="Leve"),CONCATENATE("R27C",'Mapa final'!$R$84),"")</f>
        <v/>
      </c>
      <c r="M132" s="51" t="str">
        <f>IF(AND('Mapa final'!$AB$82="Media",'Mapa final'!$AD$82="Menor"),CONCATENATE("R27C",'Mapa final'!$R$82),"")</f>
        <v/>
      </c>
      <c r="N132" s="52" t="str">
        <f>IF(AND('Mapa final'!$AB$83="Media",'Mapa final'!$AD$83="Menor"),CONCATENATE("R27C",'Mapa final'!$R$83),"")</f>
        <v/>
      </c>
      <c r="O132" s="125" t="str">
        <f>IF(AND('Mapa final'!$AB$84="Media",'Mapa final'!$AD$84="Menor"),CONCATENATE("R27C",'Mapa final'!$R$84),"")</f>
        <v/>
      </c>
      <c r="P132" s="51" t="str">
        <f>IF(AND('Mapa final'!$AB$82="Media",'Mapa final'!$AD$82="Moderado"),CONCATENATE("R27C",'Mapa final'!$R$82),"")</f>
        <v/>
      </c>
      <c r="Q132" s="52" t="str">
        <f>IF(AND('Mapa final'!$AB$83="Media",'Mapa final'!$AD$83="Moderado"),CONCATENATE("R27C",'Mapa final'!$R$83),"")</f>
        <v/>
      </c>
      <c r="R132" s="125" t="str">
        <f>IF(AND('Mapa final'!$AB$84="Media",'Mapa final'!$AD$84="Moderado"),CONCATENATE("R27C",'Mapa final'!$R$84),"")</f>
        <v/>
      </c>
      <c r="S132" s="119" t="str">
        <f>IF(AND('Mapa final'!$AB$82="Media",'Mapa final'!$AD$82="Mayor"),CONCATENATE("R27C",'Mapa final'!$R$82),"")</f>
        <v/>
      </c>
      <c r="T132" s="44" t="str">
        <f>IF(AND('Mapa final'!$AB$83="Media",'Mapa final'!$AD$83="Mayor"),CONCATENATE("R27C",'Mapa final'!$R$83),"")</f>
        <v/>
      </c>
      <c r="U132" s="120" t="str">
        <f>IF(AND('Mapa final'!$AB$84="Media",'Mapa final'!$AD$84="Mayor"),CONCATENATE("R27C",'Mapa final'!$R$84),"")</f>
        <v/>
      </c>
      <c r="V132" s="45" t="str">
        <f>IF(AND('Mapa final'!$AB$82="Media",'Mapa final'!$AD$82="Catastrófico"),CONCATENATE("R27C",'Mapa final'!$R$82),"")</f>
        <v/>
      </c>
      <c r="W132" s="46" t="str">
        <f>IF(AND('Mapa final'!$AB$83="Media",'Mapa final'!$AD$83="Catastrófico"),CONCATENATE("R27C",'Mapa final'!$R$83),"")</f>
        <v/>
      </c>
      <c r="X132" s="114" t="str">
        <f>IF(AND('Mapa final'!$AB$84="Media",'Mapa final'!$AD$84="Catastrófico"),CONCATENATE("R27C",'Mapa final'!$R$84),"")</f>
        <v/>
      </c>
      <c r="Y132" s="58"/>
      <c r="Z132" s="398"/>
      <c r="AA132" s="399"/>
      <c r="AB132" s="399"/>
      <c r="AC132" s="399"/>
      <c r="AD132" s="399"/>
      <c r="AE132" s="400"/>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row>
    <row r="133" spans="1:61" ht="15" customHeight="1" x14ac:dyDescent="0.25">
      <c r="A133" s="58"/>
      <c r="B133" s="356"/>
      <c r="C133" s="356"/>
      <c r="D133" s="357"/>
      <c r="E133" s="371"/>
      <c r="F133" s="372"/>
      <c r="G133" s="372"/>
      <c r="H133" s="372"/>
      <c r="I133" s="370"/>
      <c r="J133" s="51" t="str">
        <f>IF(AND('Mapa final'!$AB$85="Media",'Mapa final'!$AD$85="Leve"),CONCATENATE("R28C",'Mapa final'!$R$85),"")</f>
        <v/>
      </c>
      <c r="K133" s="52" t="str">
        <f>IF(AND('Mapa final'!$AB$86="Media",'Mapa final'!$AD$86="Leve"),CONCATENATE("R28C",'Mapa final'!$R$86),"")</f>
        <v/>
      </c>
      <c r="L133" s="125" t="str">
        <f>IF(AND('Mapa final'!$AB$87="Media",'Mapa final'!$AD$87="Leve"),CONCATENATE("R28C",'Mapa final'!$R$87),"")</f>
        <v/>
      </c>
      <c r="M133" s="51" t="str">
        <f>IF(AND('Mapa final'!$AB$85="Media",'Mapa final'!$AD$85="Menor"),CONCATENATE("R28C",'Mapa final'!$R$85),"")</f>
        <v/>
      </c>
      <c r="N133" s="52" t="str">
        <f>IF(AND('Mapa final'!$AB$86="Media",'Mapa final'!$AD$86="Menor"),CONCATENATE("R28C",'Mapa final'!$R$86),"")</f>
        <v/>
      </c>
      <c r="O133" s="125" t="str">
        <f>IF(AND('Mapa final'!$AB$87="Media",'Mapa final'!$AD$87="Menor"),CONCATENATE("R28C",'Mapa final'!$R$87),"")</f>
        <v/>
      </c>
      <c r="P133" s="51" t="str">
        <f>IF(AND('Mapa final'!$AB$85="Media",'Mapa final'!$AD$85="Moderado"),CONCATENATE("R28C",'Mapa final'!$R$85),"")</f>
        <v/>
      </c>
      <c r="Q133" s="52" t="str">
        <f>IF(AND('Mapa final'!$AB$86="Media",'Mapa final'!$AD$86="Moderado"),CONCATENATE("R28C",'Mapa final'!$R$86),"")</f>
        <v/>
      </c>
      <c r="R133" s="125" t="str">
        <f>IF(AND('Mapa final'!$AB$87="Media",'Mapa final'!$AD$87="Moderado"),CONCATENATE("R28C",'Mapa final'!$R$87),"")</f>
        <v/>
      </c>
      <c r="S133" s="119" t="str">
        <f>IF(AND('Mapa final'!$AB$85="Media",'Mapa final'!$AD$85="Mayor"),CONCATENATE("R28C",'Mapa final'!$R$85),"")</f>
        <v/>
      </c>
      <c r="T133" s="44" t="str">
        <f>IF(AND('Mapa final'!$AB$86="Media",'Mapa final'!$AD$86="Mayor"),CONCATENATE("R28C",'Mapa final'!$R$86),"")</f>
        <v/>
      </c>
      <c r="U133" s="120" t="str">
        <f>IF(AND('Mapa final'!$AB$87="Media",'Mapa final'!$AD$87="Mayor"),CONCATENATE("R28C",'Mapa final'!$R$87),"")</f>
        <v/>
      </c>
      <c r="V133" s="45" t="str">
        <f>IF(AND('Mapa final'!$AB$85="Media",'Mapa final'!$AD$85="Catastrófico"),CONCATENATE("R28C",'Mapa final'!$R$85),"")</f>
        <v/>
      </c>
      <c r="W133" s="46" t="str">
        <f>IF(AND('Mapa final'!$AB$86="Media",'Mapa final'!$AD$86="Catastrófico"),CONCATENATE("R28C",'Mapa final'!$R$86),"")</f>
        <v/>
      </c>
      <c r="X133" s="114" t="str">
        <f>IF(AND('Mapa final'!$AB$87="Media",'Mapa final'!$AD$87="Catastrófico"),CONCATENATE("R28C",'Mapa final'!$R$87),"")</f>
        <v/>
      </c>
      <c r="Y133" s="58"/>
      <c r="Z133" s="398"/>
      <c r="AA133" s="399"/>
      <c r="AB133" s="399"/>
      <c r="AC133" s="399"/>
      <c r="AD133" s="399"/>
      <c r="AE133" s="400"/>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58"/>
    </row>
    <row r="134" spans="1:61" ht="15" customHeight="1" x14ac:dyDescent="0.25">
      <c r="A134" s="58"/>
      <c r="B134" s="356"/>
      <c r="C134" s="356"/>
      <c r="D134" s="357"/>
      <c r="E134" s="371"/>
      <c r="F134" s="372"/>
      <c r="G134" s="372"/>
      <c r="H134" s="372"/>
      <c r="I134" s="370"/>
      <c r="J134" s="51" t="str">
        <f>IF(AND('Mapa final'!$AB$88="Media",'Mapa final'!$AD$88="Leve"),CONCATENATE("R29C",'Mapa final'!$R$88),"")</f>
        <v/>
      </c>
      <c r="K134" s="52" t="str">
        <f>IF(AND('Mapa final'!$AB$89="Media",'Mapa final'!$AD$89="Leve"),CONCATENATE("R29C",'Mapa final'!$R$89),"")</f>
        <v/>
      </c>
      <c r="L134" s="125" t="str">
        <f>IF(AND('Mapa final'!$AB$90="Media",'Mapa final'!$AD$90="Leve"),CONCATENATE("R30C",'Mapa final'!$R$90),"")</f>
        <v/>
      </c>
      <c r="M134" s="51" t="str">
        <f>IF(AND('Mapa final'!$AB$88="Media",'Mapa final'!$AD$88="Menor"),CONCATENATE("R29C",'Mapa final'!$R$88),"")</f>
        <v/>
      </c>
      <c r="N134" s="52" t="str">
        <f>IF(AND('Mapa final'!$AB$89="Media",'Mapa final'!$AD$89="Menor"),CONCATENATE("R29C",'Mapa final'!$R$89),"")</f>
        <v/>
      </c>
      <c r="O134" s="125" t="str">
        <f>IF(AND('Mapa final'!$AB$90="Media",'Mapa final'!$AD$90="Menor"),CONCATENATE("R30C",'Mapa final'!$R$90),"")</f>
        <v/>
      </c>
      <c r="P134" s="51" t="str">
        <f>IF(AND('Mapa final'!$AB$88="Media",'Mapa final'!$AD$88="Moderado"),CONCATENATE("R29C",'Mapa final'!$R$88),"")</f>
        <v/>
      </c>
      <c r="Q134" s="52" t="str">
        <f>IF(AND('Mapa final'!$AB$89="Media",'Mapa final'!$AD$89="Moderado"),CONCATENATE("R29C",'Mapa final'!$R$89),"")</f>
        <v/>
      </c>
      <c r="R134" s="125" t="str">
        <f>IF(AND('Mapa final'!$AB$90="Media",'Mapa final'!$AD$90="Moderado"),CONCATENATE("R30C",'Mapa final'!$R$90),"")</f>
        <v/>
      </c>
      <c r="S134" s="119" t="str">
        <f>IF(AND('Mapa final'!$AB$88="Media",'Mapa final'!$AD$88="Mayor"),CONCATENATE("R29C",'Mapa final'!$R$88),"")</f>
        <v/>
      </c>
      <c r="T134" s="44" t="str">
        <f>IF(AND('Mapa final'!$AB$89="Media",'Mapa final'!$AD$89="Mayor"),CONCATENATE("R29C",'Mapa final'!$R$89),"")</f>
        <v/>
      </c>
      <c r="U134" s="120" t="str">
        <f>IF(AND('Mapa final'!$AB$90="Media",'Mapa final'!$AD$90="Mayor"),CONCATENATE("R30C",'Mapa final'!$R$90),"")</f>
        <v/>
      </c>
      <c r="V134" s="45" t="str">
        <f>IF(AND('Mapa final'!$AB$88="Media",'Mapa final'!$AD$88="Catastrófico"),CONCATENATE("R29C",'Mapa final'!$R$88),"")</f>
        <v/>
      </c>
      <c r="W134" s="46" t="str">
        <f>IF(AND('Mapa final'!$AB$89="Media",'Mapa final'!$AD$89="Catastrófico"),CONCATENATE("R29C",'Mapa final'!$R$89),"")</f>
        <v/>
      </c>
      <c r="X134" s="114" t="str">
        <f>IF(AND('Mapa final'!$AB$90="Media",'Mapa final'!$AD$90="Catastrófico"),CONCATENATE("R30C",'Mapa final'!$R$90),"")</f>
        <v/>
      </c>
      <c r="Y134" s="58"/>
      <c r="Z134" s="398"/>
      <c r="AA134" s="399"/>
      <c r="AB134" s="399"/>
      <c r="AC134" s="399"/>
      <c r="AD134" s="399"/>
      <c r="AE134" s="400"/>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c r="BI134" s="58"/>
    </row>
    <row r="135" spans="1:61" ht="15" customHeight="1" x14ac:dyDescent="0.25">
      <c r="A135" s="58"/>
      <c r="B135" s="356"/>
      <c r="C135" s="356"/>
      <c r="D135" s="357"/>
      <c r="E135" s="371"/>
      <c r="F135" s="372"/>
      <c r="G135" s="372"/>
      <c r="H135" s="372"/>
      <c r="I135" s="370"/>
      <c r="J135" s="51" t="str">
        <f>IF(AND('Mapa final'!$AB$91="Media",'Mapa final'!$AD$91="Leve"),CONCATENATE("R30C",'Mapa final'!$R$91),"")</f>
        <v/>
      </c>
      <c r="K135" s="52" t="str">
        <f>IF(AND('Mapa final'!$AB$92="Media",'Mapa final'!$AD$92="Leve"),CONCATENATE("R30C",'Mapa final'!$R$92),"")</f>
        <v/>
      </c>
      <c r="L135" s="125" t="str">
        <f>IF(AND('Mapa final'!$AB$93="Media",'Mapa final'!$AD$93="Leve"),CONCATENATE("R31C",'Mapa final'!$R$93),"")</f>
        <v/>
      </c>
      <c r="M135" s="51" t="str">
        <f>IF(AND('Mapa final'!$AB$91="Media",'Mapa final'!$AD$91="Menor"),CONCATENATE("R30C",'Mapa final'!$R$91),"")</f>
        <v/>
      </c>
      <c r="N135" s="52" t="str">
        <f>IF(AND('Mapa final'!$AB$92="Media",'Mapa final'!$AD$92="Menor"),CONCATENATE("R30C",'Mapa final'!$R$92),"")</f>
        <v/>
      </c>
      <c r="O135" s="125" t="str">
        <f>IF(AND('Mapa final'!$AB$93="Media",'Mapa final'!$AD$93="Menor"),CONCATENATE("R31C",'Mapa final'!$R$93),"")</f>
        <v/>
      </c>
      <c r="P135" s="51" t="str">
        <f>IF(AND('Mapa final'!$AB$91="Media",'Mapa final'!$AD$91="Moderado"),CONCATENATE("R30C",'Mapa final'!$R$91),"")</f>
        <v/>
      </c>
      <c r="Q135" s="52" t="str">
        <f>IF(AND('Mapa final'!$AB$92="Media",'Mapa final'!$AD$92="Moderado"),CONCATENATE("R30C",'Mapa final'!$R$92),"")</f>
        <v/>
      </c>
      <c r="R135" s="125" t="str">
        <f>IF(AND('Mapa final'!$AB$93="Media",'Mapa final'!$AD$93="Moderado"),CONCATENATE("R31C",'Mapa final'!$R$93),"")</f>
        <v/>
      </c>
      <c r="S135" s="119" t="str">
        <f>IF(AND('Mapa final'!$AB$91="Media",'Mapa final'!$AD$91="Mayor"),CONCATENATE("R30C",'Mapa final'!$R$91),"")</f>
        <v>R30C1</v>
      </c>
      <c r="T135" s="44" t="str">
        <f>IF(AND('Mapa final'!$AB$92="Media",'Mapa final'!$AD$92="Mayor"),CONCATENATE("R30C",'Mapa final'!$R$92),"")</f>
        <v/>
      </c>
      <c r="U135" s="120" t="str">
        <f>IF(AND('Mapa final'!$AB$93="Media",'Mapa final'!$AD$93="Mayor"),CONCATENATE("R31C",'Mapa final'!$R$93),"")</f>
        <v/>
      </c>
      <c r="V135" s="45" t="str">
        <f>IF(AND('Mapa final'!$AB$91="Media",'Mapa final'!$AD$91="Catastrófico"),CONCATENATE("R30C",'Mapa final'!$R$91),"")</f>
        <v/>
      </c>
      <c r="W135" s="46" t="str">
        <f>IF(AND('Mapa final'!$AB$92="Media",'Mapa final'!$AD$92="Catastrófico"),CONCATENATE("R30C",'Mapa final'!$R$92),"")</f>
        <v/>
      </c>
      <c r="X135" s="114" t="str">
        <f>IF(AND('Mapa final'!$AB$93="Media",'Mapa final'!$AD$93="Catastrófico"),CONCATENATE("R31C",'Mapa final'!$R$93),"")</f>
        <v/>
      </c>
      <c r="Y135" s="58"/>
      <c r="Z135" s="398"/>
      <c r="AA135" s="399"/>
      <c r="AB135" s="399"/>
      <c r="AC135" s="399"/>
      <c r="AD135" s="399"/>
      <c r="AE135" s="400"/>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c r="BI135" s="58"/>
    </row>
    <row r="136" spans="1:61" ht="15" customHeight="1" x14ac:dyDescent="0.25">
      <c r="A136" s="58"/>
      <c r="B136" s="356"/>
      <c r="C136" s="356"/>
      <c r="D136" s="357"/>
      <c r="E136" s="371"/>
      <c r="F136" s="372"/>
      <c r="G136" s="372"/>
      <c r="H136" s="372"/>
      <c r="I136" s="370"/>
      <c r="J136" s="51" t="str">
        <f>IF(AND('Mapa final'!$AB$94="Media",'Mapa final'!$AD$94="Leve"),CONCATENATE("R31C",'Mapa final'!$R$94),"")</f>
        <v/>
      </c>
      <c r="K136" s="52" t="str">
        <f>IF(AND('Mapa final'!$AB$95="Media",'Mapa final'!$AD$95="Leve"),CONCATENATE("R31C",'Mapa final'!$R$95),"")</f>
        <v/>
      </c>
      <c r="L136" s="125" t="str">
        <f>IF(AND('Mapa final'!$AB$96="Media",'Mapa final'!$AD$96="Leve"),CONCATENATE("R32C",'Mapa final'!$R$96),"")</f>
        <v/>
      </c>
      <c r="M136" s="51" t="str">
        <f>IF(AND('Mapa final'!$AB$94="Media",'Mapa final'!$AD$94="Menor"),CONCATENATE("R31C",'Mapa final'!$R$94),"")</f>
        <v/>
      </c>
      <c r="N136" s="52" t="str">
        <f>IF(AND('Mapa final'!$AB$95="Media",'Mapa final'!$AD$95="Menor"),CONCATENATE("R31C",'Mapa final'!$R$95),"")</f>
        <v/>
      </c>
      <c r="O136" s="125" t="str">
        <f>IF(AND('Mapa final'!$AB$96="Media",'Mapa final'!$AD$96="Menor"),CONCATENATE("R32C",'Mapa final'!$R$96),"")</f>
        <v/>
      </c>
      <c r="P136" s="51" t="str">
        <f>IF(AND('Mapa final'!$AB$94="Media",'Mapa final'!$AD$94="Moderado"),CONCATENATE("R31C",'Mapa final'!$R$94),"")</f>
        <v/>
      </c>
      <c r="Q136" s="52" t="str">
        <f>IF(AND('Mapa final'!$AB$95="Media",'Mapa final'!$AD$95="Moderado"),CONCATENATE("R31C",'Mapa final'!$R$95),"")</f>
        <v/>
      </c>
      <c r="R136" s="125" t="str">
        <f>IF(AND('Mapa final'!$AB$96="Media",'Mapa final'!$AD$96="Moderado"),CONCATENATE("R32C",'Mapa final'!$R$96),"")</f>
        <v/>
      </c>
      <c r="S136" s="119" t="str">
        <f>IF(AND('Mapa final'!$AB$94="Media",'Mapa final'!$AD$94="Mayor"),CONCATENATE("R31C",'Mapa final'!$R$94),"")</f>
        <v/>
      </c>
      <c r="T136" s="44" t="str">
        <f>IF(AND('Mapa final'!$AB$95="Media",'Mapa final'!$AD$95="Mayor"),CONCATENATE("R31C",'Mapa final'!$R$95),"")</f>
        <v/>
      </c>
      <c r="U136" s="120" t="str">
        <f>IF(AND('Mapa final'!$AB$96="Media",'Mapa final'!$AD$96="Mayor"),CONCATENATE("R32C",'Mapa final'!$R$96),"")</f>
        <v/>
      </c>
      <c r="V136" s="45" t="str">
        <f>IF(AND('Mapa final'!$AB$94="Media",'Mapa final'!$AD$94="Catastrófico"),CONCATENATE("R31C",'Mapa final'!$R$94),"")</f>
        <v/>
      </c>
      <c r="W136" s="46" t="str">
        <f>IF(AND('Mapa final'!$AB$95="Media",'Mapa final'!$AD$95="Catastrófico"),CONCATENATE("R31C",'Mapa final'!$R$95),"")</f>
        <v/>
      </c>
      <c r="X136" s="114" t="str">
        <f>IF(AND('Mapa final'!$AB$96="Media",'Mapa final'!$AD$96="Catastrófico"),CONCATENATE("R32C",'Mapa final'!$R$96),"")</f>
        <v/>
      </c>
      <c r="Y136" s="58"/>
      <c r="Z136" s="398"/>
      <c r="AA136" s="399"/>
      <c r="AB136" s="399"/>
      <c r="AC136" s="399"/>
      <c r="AD136" s="399"/>
      <c r="AE136" s="400"/>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c r="BI136" s="58"/>
    </row>
    <row r="137" spans="1:61" ht="15" customHeight="1" x14ac:dyDescent="0.25">
      <c r="A137" s="58"/>
      <c r="B137" s="356"/>
      <c r="C137" s="356"/>
      <c r="D137" s="357"/>
      <c r="E137" s="371"/>
      <c r="F137" s="372"/>
      <c r="G137" s="372"/>
      <c r="H137" s="372"/>
      <c r="I137" s="370"/>
      <c r="J137" s="51" t="str">
        <f>IF(AND('Mapa final'!$AB$97="Media",'Mapa final'!$AD$97="Leve"),CONCATENATE("R32C",'Mapa final'!$R$97),"")</f>
        <v/>
      </c>
      <c r="K137" s="52" t="str">
        <f>IF(AND('Mapa final'!$AB$98="Media",'Mapa final'!$AD$98="Leve"),CONCATENATE("R32C",'Mapa final'!$R$98),"")</f>
        <v/>
      </c>
      <c r="L137" s="125" t="str">
        <f>IF(AND('Mapa final'!$AB$99="Media",'Mapa final'!$AD$99="Leve"),CONCATENATE("R33C",'Mapa final'!$R$99),"")</f>
        <v/>
      </c>
      <c r="M137" s="51" t="str">
        <f>IF(AND('Mapa final'!$AB$97="Media",'Mapa final'!$AD$97="Menor"),CONCATENATE("R32C",'Mapa final'!$R$97),"")</f>
        <v/>
      </c>
      <c r="N137" s="52" t="str">
        <f>IF(AND('Mapa final'!$AB$98="Media",'Mapa final'!$AD$98="Menor"),CONCATENATE("R32C",'Mapa final'!$R$98),"")</f>
        <v/>
      </c>
      <c r="O137" s="125" t="str">
        <f>IF(AND('Mapa final'!$AB$99="Media",'Mapa final'!$AD$99="Menor"),CONCATENATE("R33C",'Mapa final'!$R$99),"")</f>
        <v/>
      </c>
      <c r="P137" s="51" t="str">
        <f>IF(AND('Mapa final'!$AB$97="Media",'Mapa final'!$AD$97="Moderado"),CONCATENATE("R32C",'Mapa final'!$R$97),"")</f>
        <v>R32C1</v>
      </c>
      <c r="Q137" s="52" t="str">
        <f>IF(AND('Mapa final'!$AB$98="Media",'Mapa final'!$AD$98="Moderado"),CONCATENATE("R32C",'Mapa final'!$R$98),"")</f>
        <v/>
      </c>
      <c r="R137" s="125" t="str">
        <f>IF(AND('Mapa final'!$AB$99="Media",'Mapa final'!$AD$99="Moderado"),CONCATENATE("R33C",'Mapa final'!$R$99),"")</f>
        <v/>
      </c>
      <c r="S137" s="119" t="str">
        <f>IF(AND('Mapa final'!$AB$97="Media",'Mapa final'!$AD$97="Mayor"),CONCATENATE("R32C",'Mapa final'!$R$97),"")</f>
        <v/>
      </c>
      <c r="T137" s="44" t="str">
        <f>IF(AND('Mapa final'!$AB$98="Media",'Mapa final'!$AD$98="Mayor"),CONCATENATE("R32C",'Mapa final'!$R$98),"")</f>
        <v/>
      </c>
      <c r="U137" s="120" t="str">
        <f>IF(AND('Mapa final'!$AB$99="Media",'Mapa final'!$AD$99="Mayor"),CONCATENATE("R33C",'Mapa final'!$R$99),"")</f>
        <v/>
      </c>
      <c r="V137" s="45" t="str">
        <f>IF(AND('Mapa final'!$AB$97="Media",'Mapa final'!$AD$97="Catastrófico"),CONCATENATE("R32C",'Mapa final'!$R$97),"")</f>
        <v/>
      </c>
      <c r="W137" s="46" t="str">
        <f>IF(AND('Mapa final'!$AB$98="Media",'Mapa final'!$AD$98="Catastrófico"),CONCATENATE("R32C",'Mapa final'!$R$98),"")</f>
        <v/>
      </c>
      <c r="X137" s="114" t="str">
        <f>IF(AND('Mapa final'!$AB$99="Media",'Mapa final'!$AD$99="Catastrófico"),CONCATENATE("R33C",'Mapa final'!$R$99),"")</f>
        <v/>
      </c>
      <c r="Y137" s="58"/>
      <c r="Z137" s="398"/>
      <c r="AA137" s="399"/>
      <c r="AB137" s="399"/>
      <c r="AC137" s="399"/>
      <c r="AD137" s="399"/>
      <c r="AE137" s="400"/>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c r="BI137" s="58"/>
    </row>
    <row r="138" spans="1:61" ht="15" customHeight="1" x14ac:dyDescent="0.25">
      <c r="A138" s="58"/>
      <c r="B138" s="356"/>
      <c r="C138" s="356"/>
      <c r="D138" s="357"/>
      <c r="E138" s="371"/>
      <c r="F138" s="372"/>
      <c r="G138" s="372"/>
      <c r="H138" s="372"/>
      <c r="I138" s="370"/>
      <c r="J138" s="51" t="str">
        <f>IF(AND('Mapa final'!$AB$100="Media",'Mapa final'!$AD$100="Leve"),CONCATENATE("R33C",'Mapa final'!$R$100),"")</f>
        <v/>
      </c>
      <c r="K138" s="52" t="str">
        <f>IF(AND('Mapa final'!$AB$101="Media",'Mapa final'!$AD$101="Leve"),CONCATENATE("R33C",'Mapa final'!$R$101),"")</f>
        <v/>
      </c>
      <c r="L138" s="125" t="str">
        <f>IF(AND('Mapa final'!$AB$102="Media",'Mapa final'!$AD$102="Leve"),CONCATENATE("R34C",'Mapa final'!$R$102),"")</f>
        <v/>
      </c>
      <c r="M138" s="51" t="str">
        <f>IF(AND('Mapa final'!$AB$100="Media",'Mapa final'!$AD$100="Menor"),CONCATENATE("R33C",'Mapa final'!$R$100),"")</f>
        <v/>
      </c>
      <c r="N138" s="52" t="str">
        <f>IF(AND('Mapa final'!$AB$101="Media",'Mapa final'!$AD$101="Menor"),CONCATENATE("R33C",'Mapa final'!$R$101),"")</f>
        <v/>
      </c>
      <c r="O138" s="125" t="str">
        <f>IF(AND('Mapa final'!$AB$102="Media",'Mapa final'!$AD$102="Menor"),CONCATENATE("R34C",'Mapa final'!$R$102),"")</f>
        <v/>
      </c>
      <c r="P138" s="51" t="str">
        <f>IF(AND('Mapa final'!$AB$100="Media",'Mapa final'!$AD$100="Moderado"),CONCATENATE("R33C",'Mapa final'!$R$100),"")</f>
        <v>R33C1</v>
      </c>
      <c r="Q138" s="52" t="str">
        <f>IF(AND('Mapa final'!$AB$101="Media",'Mapa final'!$AD$101="Moderado"),CONCATENATE("R33C",'Mapa final'!$R$101),"")</f>
        <v/>
      </c>
      <c r="R138" s="125" t="str">
        <f>IF(AND('Mapa final'!$AB$102="Media",'Mapa final'!$AD$102="Moderado"),CONCATENATE("R34C",'Mapa final'!$R$102),"")</f>
        <v/>
      </c>
      <c r="S138" s="119" t="str">
        <f>IF(AND('Mapa final'!$AB$100="Media",'Mapa final'!$AD$100="Mayor"),CONCATENATE("R33C",'Mapa final'!$R$100),"")</f>
        <v/>
      </c>
      <c r="T138" s="44" t="str">
        <f>IF(AND('Mapa final'!$AB$101="Media",'Mapa final'!$AD$101="Mayor"),CONCATENATE("R33C",'Mapa final'!$R$101),"")</f>
        <v/>
      </c>
      <c r="U138" s="120" t="str">
        <f>IF(AND('Mapa final'!$AB$102="Media",'Mapa final'!$AD$102="Mayor"),CONCATENATE("R34C",'Mapa final'!$R$102),"")</f>
        <v/>
      </c>
      <c r="V138" s="45" t="str">
        <f>IF(AND('Mapa final'!$AB$100="Media",'Mapa final'!$AD$100="Catastrófico"),CONCATENATE("R33C",'Mapa final'!$R$100),"")</f>
        <v/>
      </c>
      <c r="W138" s="46" t="str">
        <f>IF(AND('Mapa final'!$AB$101="Media",'Mapa final'!$AD$101="Catastrófico"),CONCATENATE("R33C",'Mapa final'!$R$101),"")</f>
        <v/>
      </c>
      <c r="X138" s="114" t="str">
        <f>IF(AND('Mapa final'!$AB$102="Media",'Mapa final'!$AD$102="Catastrófico"),CONCATENATE("R34C",'Mapa final'!$R$102),"")</f>
        <v/>
      </c>
      <c r="Y138" s="58"/>
      <c r="Z138" s="398"/>
      <c r="AA138" s="399"/>
      <c r="AB138" s="399"/>
      <c r="AC138" s="399"/>
      <c r="AD138" s="399"/>
      <c r="AE138" s="400"/>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row>
    <row r="139" spans="1:61" ht="15" customHeight="1" x14ac:dyDescent="0.25">
      <c r="A139" s="58"/>
      <c r="B139" s="356"/>
      <c r="C139" s="356"/>
      <c r="D139" s="357"/>
      <c r="E139" s="371"/>
      <c r="F139" s="372"/>
      <c r="G139" s="372"/>
      <c r="H139" s="372"/>
      <c r="I139" s="370"/>
      <c r="J139" s="51" t="str">
        <f>IF(AND('Mapa final'!$AB$103="Media",'Mapa final'!$AD$103="Leve"),CONCATENATE("R34C",'Mapa final'!$R$103),"")</f>
        <v/>
      </c>
      <c r="K139" s="52" t="str">
        <f>IF(AND('Mapa final'!$AB$104="Media",'Mapa final'!$AD$104="Leve"),CONCATENATE("R34C",'Mapa final'!$R$104),"")</f>
        <v/>
      </c>
      <c r="L139" s="125" t="str">
        <f>IF(AND('Mapa final'!$AB$105="Media",'Mapa final'!$AD$105="Leve"),CONCATENATE("R35C",'Mapa final'!$R$105),"")</f>
        <v/>
      </c>
      <c r="M139" s="51" t="str">
        <f>IF(AND('Mapa final'!$AB$103="Media",'Mapa final'!$AD$103="Menor"),CONCATENATE("R34C",'Mapa final'!$R$103),"")</f>
        <v/>
      </c>
      <c r="N139" s="52" t="str">
        <f>IF(AND('Mapa final'!$AB$104="Media",'Mapa final'!$AD$104="Menor"),CONCATENATE("R34C",'Mapa final'!$R$104),"")</f>
        <v/>
      </c>
      <c r="O139" s="125" t="str">
        <f>IF(AND('Mapa final'!$AB$105="Media",'Mapa final'!$AD$105="Menor"),CONCATENATE("R35C",'Mapa final'!$R$105),"")</f>
        <v/>
      </c>
      <c r="P139" s="51" t="str">
        <f>IF(AND('Mapa final'!$AB$103="Media",'Mapa final'!$AD$103="Moderado"),CONCATENATE("R34C",'Mapa final'!$R$103),"")</f>
        <v/>
      </c>
      <c r="Q139" s="52" t="str">
        <f>IF(AND('Mapa final'!$AB$104="Media",'Mapa final'!$AD$104="Moderado"),CONCATENATE("R34C",'Mapa final'!$R$104),"")</f>
        <v/>
      </c>
      <c r="R139" s="125" t="str">
        <f>IF(AND('Mapa final'!$AB$105="Media",'Mapa final'!$AD$105="Moderado"),CONCATENATE("R35C",'Mapa final'!$R$105),"")</f>
        <v/>
      </c>
      <c r="S139" s="119" t="str">
        <f>IF(AND('Mapa final'!$AB$103="Media",'Mapa final'!$AD$103="Mayor"),CONCATENATE("R34C",'Mapa final'!$R$103),"")</f>
        <v/>
      </c>
      <c r="T139" s="44" t="str">
        <f>IF(AND('Mapa final'!$AB$104="Media",'Mapa final'!$AD$104="Mayor"),CONCATENATE("R34C",'Mapa final'!$R$104),"")</f>
        <v/>
      </c>
      <c r="U139" s="120" t="str">
        <f>IF(AND('Mapa final'!$AB$105="Media",'Mapa final'!$AD$105="Mayor"),CONCATENATE("R35C",'Mapa final'!$R$105),"")</f>
        <v/>
      </c>
      <c r="V139" s="45" t="str">
        <f>IF(AND('Mapa final'!$AB$103="Media",'Mapa final'!$AD$103="Catastrófico"),CONCATENATE("R34C",'Mapa final'!$R$103),"")</f>
        <v/>
      </c>
      <c r="W139" s="46" t="str">
        <f>IF(AND('Mapa final'!$AB$104="Media",'Mapa final'!$AD$104="Catastrófico"),CONCATENATE("R34C",'Mapa final'!$R$104),"")</f>
        <v/>
      </c>
      <c r="X139" s="114" t="str">
        <f>IF(AND('Mapa final'!$AB$105="Media",'Mapa final'!$AD$105="Catastrófico"),CONCATENATE("R35C",'Mapa final'!$R$105),"")</f>
        <v/>
      </c>
      <c r="Y139" s="58"/>
      <c r="Z139" s="398"/>
      <c r="AA139" s="399"/>
      <c r="AB139" s="399"/>
      <c r="AC139" s="399"/>
      <c r="AD139" s="399"/>
      <c r="AE139" s="400"/>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row>
    <row r="140" spans="1:61" ht="15" customHeight="1" x14ac:dyDescent="0.25">
      <c r="A140" s="58"/>
      <c r="B140" s="356"/>
      <c r="C140" s="356"/>
      <c r="D140" s="357"/>
      <c r="E140" s="371"/>
      <c r="F140" s="372"/>
      <c r="G140" s="372"/>
      <c r="H140" s="372"/>
      <c r="I140" s="370"/>
      <c r="J140" s="51" t="str">
        <f>IF(AND('Mapa final'!$AB$106="Media",'Mapa final'!$AD$106="Leve"),CONCATENATE("R35C",'Mapa final'!$R$106),"")</f>
        <v/>
      </c>
      <c r="K140" s="52" t="str">
        <f>IF(AND('Mapa final'!$AB$107="Media",'Mapa final'!$AD$107="Leve"),CONCATENATE("R35C",'Mapa final'!$R$107),"")</f>
        <v/>
      </c>
      <c r="L140" s="125" t="str">
        <f>IF(AND('Mapa final'!$AB$108="Media",'Mapa final'!$AD$108="Leve"),CONCATENATE("R36C",'Mapa final'!$R$108),"")</f>
        <v/>
      </c>
      <c r="M140" s="51" t="str">
        <f>IF(AND('Mapa final'!$AB$106="Media",'Mapa final'!$AD$106="Menor"),CONCATENATE("R35C",'Mapa final'!$R$106),"")</f>
        <v/>
      </c>
      <c r="N140" s="52" t="str">
        <f>IF(AND('Mapa final'!$AB$107="Media",'Mapa final'!$AD$107="Menor"),CONCATENATE("R35C",'Mapa final'!$R$107),"")</f>
        <v/>
      </c>
      <c r="O140" s="125" t="str">
        <f>IF(AND('Mapa final'!$AB$108="Media",'Mapa final'!$AD$108="Menor"),CONCATENATE("R36C",'Mapa final'!$R$108),"")</f>
        <v/>
      </c>
      <c r="P140" s="51" t="str">
        <f>IF(AND('Mapa final'!$AB$106="Media",'Mapa final'!$AD$106="Moderado"),CONCATENATE("R35C",'Mapa final'!$R$106),"")</f>
        <v/>
      </c>
      <c r="Q140" s="52" t="str">
        <f>IF(AND('Mapa final'!$AB$107="Media",'Mapa final'!$AD$107="Moderado"),CONCATENATE("R35C",'Mapa final'!$R$107),"")</f>
        <v/>
      </c>
      <c r="R140" s="125" t="str">
        <f>IF(AND('Mapa final'!$AB$108="Media",'Mapa final'!$AD$108="Moderado"),CONCATENATE("R36C",'Mapa final'!$R$108),"")</f>
        <v/>
      </c>
      <c r="S140" s="119" t="str">
        <f>IF(AND('Mapa final'!$AB$106="Media",'Mapa final'!$AD$106="Mayor"),CONCATENATE("R35C",'Mapa final'!$R$106),"")</f>
        <v/>
      </c>
      <c r="T140" s="44" t="str">
        <f>IF(AND('Mapa final'!$AB$107="Media",'Mapa final'!$AD$107="Mayor"),CONCATENATE("R35C",'Mapa final'!$R$107),"")</f>
        <v/>
      </c>
      <c r="U140" s="120" t="str">
        <f>IF(AND('Mapa final'!$AB$108="Media",'Mapa final'!$AD$108="Mayor"),CONCATENATE("R36C",'Mapa final'!$R$108),"")</f>
        <v/>
      </c>
      <c r="V140" s="45" t="str">
        <f>IF(AND('Mapa final'!$AB$106="Media",'Mapa final'!$AD$106="Catastrófico"),CONCATENATE("R35C",'Mapa final'!$R$106),"")</f>
        <v/>
      </c>
      <c r="W140" s="46" t="str">
        <f>IF(AND('Mapa final'!$AB$107="Media",'Mapa final'!$AD$107="Catastrófico"),CONCATENATE("R35C",'Mapa final'!$R$107),"")</f>
        <v/>
      </c>
      <c r="X140" s="114" t="str">
        <f>IF(AND('Mapa final'!$AB$108="Media",'Mapa final'!$AD$108="Catastrófico"),CONCATENATE("R36C",'Mapa final'!$R$108),"")</f>
        <v/>
      </c>
      <c r="Y140" s="58"/>
      <c r="Z140" s="398"/>
      <c r="AA140" s="399"/>
      <c r="AB140" s="399"/>
      <c r="AC140" s="399"/>
      <c r="AD140" s="399"/>
      <c r="AE140" s="400"/>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row>
    <row r="141" spans="1:61" ht="15" customHeight="1" x14ac:dyDescent="0.25">
      <c r="A141" s="58"/>
      <c r="B141" s="356"/>
      <c r="C141" s="356"/>
      <c r="D141" s="357"/>
      <c r="E141" s="371"/>
      <c r="F141" s="372"/>
      <c r="G141" s="372"/>
      <c r="H141" s="372"/>
      <c r="I141" s="370"/>
      <c r="J141" s="51" t="str">
        <f>IF(AND('Mapa final'!$AB$109="Media",'Mapa final'!$AD$109="Leve"),CONCATENATE("R36C",'Mapa final'!$R$109),"")</f>
        <v/>
      </c>
      <c r="K141" s="52" t="str">
        <f>IF(AND('Mapa final'!$AB$110="Media",'Mapa final'!$AD$110="Leve"),CONCATENATE("R36C",'Mapa final'!$R$110),"")</f>
        <v/>
      </c>
      <c r="L141" s="125" t="str">
        <f>IF(AND('Mapa final'!$AB$111="Media",'Mapa final'!$AD$111="Leve"),CONCATENATE("R37C",'Mapa final'!$R$111),"")</f>
        <v/>
      </c>
      <c r="M141" s="51" t="str">
        <f>IF(AND('Mapa final'!$AB$109="Media",'Mapa final'!$AD$109="Menor"),CONCATENATE("R36C",'Mapa final'!$R$109),"")</f>
        <v/>
      </c>
      <c r="N141" s="52" t="str">
        <f>IF(AND('Mapa final'!$AB$110="Media",'Mapa final'!$AD$110="Menor"),CONCATENATE("R36C",'Mapa final'!$R$110),"")</f>
        <v/>
      </c>
      <c r="O141" s="125" t="str">
        <f>IF(AND('Mapa final'!$AB$111="Media",'Mapa final'!$AD$111="Menor"),CONCATENATE("R37C",'Mapa final'!$R$111),"")</f>
        <v/>
      </c>
      <c r="P141" s="51" t="str">
        <f>IF(AND('Mapa final'!$AB$109="Media",'Mapa final'!$AD$109="Moderado"),CONCATENATE("R36C",'Mapa final'!$R$109),"")</f>
        <v/>
      </c>
      <c r="Q141" s="52" t="str">
        <f>IF(AND('Mapa final'!$AB$110="Media",'Mapa final'!$AD$110="Moderado"),CONCATENATE("R36C",'Mapa final'!$R$110),"")</f>
        <v/>
      </c>
      <c r="R141" s="125" t="str">
        <f>IF(AND('Mapa final'!$AB$111="Media",'Mapa final'!$AD$111="Moderado"),CONCATENATE("R37C",'Mapa final'!$R$111),"")</f>
        <v/>
      </c>
      <c r="S141" s="119" t="str">
        <f>IF(AND('Mapa final'!$AB$109="Media",'Mapa final'!$AD$109="Mayor"),CONCATENATE("R36C",'Mapa final'!$R$109),"")</f>
        <v/>
      </c>
      <c r="T141" s="44" t="str">
        <f>IF(AND('Mapa final'!$AB$110="Media",'Mapa final'!$AD$110="Mayor"),CONCATENATE("R36C",'Mapa final'!$R$110),"")</f>
        <v/>
      </c>
      <c r="U141" s="120" t="str">
        <f>IF(AND('Mapa final'!$AB$111="Media",'Mapa final'!$AD$111="Mayor"),CONCATENATE("R37C",'Mapa final'!$R$111),"")</f>
        <v/>
      </c>
      <c r="V141" s="45" t="str">
        <f>IF(AND('Mapa final'!$AB$109="Media",'Mapa final'!$AD$109="Catastrófico"),CONCATENATE("R36C",'Mapa final'!$R$109),"")</f>
        <v/>
      </c>
      <c r="W141" s="46" t="str">
        <f>IF(AND('Mapa final'!$AB$110="Media",'Mapa final'!$AD$110="Catastrófico"),CONCATENATE("R36C",'Mapa final'!$R$110),"")</f>
        <v/>
      </c>
      <c r="X141" s="114" t="str">
        <f>IF(AND('Mapa final'!$AB$111="Media",'Mapa final'!$AD$111="Catastrófico"),CONCATENATE("R37C",'Mapa final'!$R$111),"")</f>
        <v/>
      </c>
      <c r="Y141" s="58"/>
      <c r="Z141" s="398"/>
      <c r="AA141" s="399"/>
      <c r="AB141" s="399"/>
      <c r="AC141" s="399"/>
      <c r="AD141" s="399"/>
      <c r="AE141" s="400"/>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row>
    <row r="142" spans="1:61" ht="15" customHeight="1" x14ac:dyDescent="0.25">
      <c r="A142" s="58"/>
      <c r="B142" s="356"/>
      <c r="C142" s="356"/>
      <c r="D142" s="357"/>
      <c r="E142" s="371"/>
      <c r="F142" s="372"/>
      <c r="G142" s="372"/>
      <c r="H142" s="372"/>
      <c r="I142" s="370"/>
      <c r="J142" s="51" t="str">
        <f>IF(AND('Mapa final'!$AB$112="Media",'Mapa final'!$AD$112="Leve"),CONCATENATE("R37C",'Mapa final'!$R$112),"")</f>
        <v/>
      </c>
      <c r="K142" s="52" t="str">
        <f>IF(AND('Mapa final'!$AB$113="Media",'Mapa final'!$AD$113="Leve"),CONCATENATE("R37C",'Mapa final'!$R$113),"")</f>
        <v/>
      </c>
      <c r="L142" s="125" t="str">
        <f>IF(AND('Mapa final'!$AB$114="Media",'Mapa final'!$AD$114="Leve"),CONCATENATE("R38C",'Mapa final'!$R$114),"")</f>
        <v/>
      </c>
      <c r="M142" s="51" t="str">
        <f>IF(AND('Mapa final'!$AB$112="Media",'Mapa final'!$AD$112="Menor"),CONCATENATE("R37C",'Mapa final'!$R$112),"")</f>
        <v/>
      </c>
      <c r="N142" s="52" t="str">
        <f>IF(AND('Mapa final'!$AB$113="Media",'Mapa final'!$AD$113="Menor"),CONCATENATE("R37C",'Mapa final'!$R$113),"")</f>
        <v/>
      </c>
      <c r="O142" s="125" t="str">
        <f>IF(AND('Mapa final'!$AB$114="Media",'Mapa final'!$AD$114="Menor"),CONCATENATE("R38C",'Mapa final'!$R$114),"")</f>
        <v/>
      </c>
      <c r="P142" s="51" t="str">
        <f>IF(AND('Mapa final'!$AB$112="Media",'Mapa final'!$AD$112="Moderado"),CONCATENATE("R37C",'Mapa final'!$R$112),"")</f>
        <v/>
      </c>
      <c r="Q142" s="52" t="str">
        <f>IF(AND('Mapa final'!$AB$113="Media",'Mapa final'!$AD$113="Moderado"),CONCATENATE("R37C",'Mapa final'!$R$113),"")</f>
        <v/>
      </c>
      <c r="R142" s="125" t="str">
        <f>IF(AND('Mapa final'!$AB$114="Media",'Mapa final'!$AD$114="Moderado"),CONCATENATE("R38C",'Mapa final'!$R$114),"")</f>
        <v/>
      </c>
      <c r="S142" s="119" t="str">
        <f>IF(AND('Mapa final'!$AB$112="Media",'Mapa final'!$AD$112="Mayor"),CONCATENATE("R37C",'Mapa final'!$R$112),"")</f>
        <v/>
      </c>
      <c r="T142" s="44" t="str">
        <f>IF(AND('Mapa final'!$AB$113="Media",'Mapa final'!$AD$113="Mayor"),CONCATENATE("R37C",'Mapa final'!$R$113),"")</f>
        <v/>
      </c>
      <c r="U142" s="120" t="str">
        <f>IF(AND('Mapa final'!$AB$114="Media",'Mapa final'!$AD$114="Mayor"),CONCATENATE("R38C",'Mapa final'!$R$114),"")</f>
        <v/>
      </c>
      <c r="V142" s="45" t="str">
        <f>IF(AND('Mapa final'!$AB$112="Media",'Mapa final'!$AD$112="Catastrófico"),CONCATENATE("R37C",'Mapa final'!$R$112),"")</f>
        <v/>
      </c>
      <c r="W142" s="46" t="str">
        <f>IF(AND('Mapa final'!$AB$113="Media",'Mapa final'!$AD$113="Catastrófico"),CONCATENATE("R37C",'Mapa final'!$R$113),"")</f>
        <v/>
      </c>
      <c r="X142" s="114" t="str">
        <f>IF(AND('Mapa final'!$AB$114="Media",'Mapa final'!$AD$114="Catastrófico"),CONCATENATE("R38C",'Mapa final'!$R$114),"")</f>
        <v/>
      </c>
      <c r="Y142" s="58"/>
      <c r="Z142" s="398"/>
      <c r="AA142" s="399"/>
      <c r="AB142" s="399"/>
      <c r="AC142" s="399"/>
      <c r="AD142" s="399"/>
      <c r="AE142" s="400"/>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row>
    <row r="143" spans="1:61" ht="15" customHeight="1" x14ac:dyDescent="0.25">
      <c r="A143" s="58"/>
      <c r="B143" s="356"/>
      <c r="C143" s="356"/>
      <c r="D143" s="357"/>
      <c r="E143" s="371"/>
      <c r="F143" s="372"/>
      <c r="G143" s="372"/>
      <c r="H143" s="372"/>
      <c r="I143" s="370"/>
      <c r="J143" s="51" t="str">
        <f>IF(AND('Mapa final'!$AB$115="Media",'Mapa final'!$AD$115="Leve"),CONCATENATE("R38C",'Mapa final'!$R$115),"")</f>
        <v/>
      </c>
      <c r="K143" s="52" t="str">
        <f>IF(AND('Mapa final'!$AB$116="Media",'Mapa final'!$AD$116="Leve"),CONCATENATE("R38C",'Mapa final'!$R$116),"")</f>
        <v/>
      </c>
      <c r="L143" s="125" t="str">
        <f>IF(AND('Mapa final'!$AB$117="Media",'Mapa final'!$AD$117="Leve"),CONCATENATE("R39C",'Mapa final'!$R$117),"")</f>
        <v/>
      </c>
      <c r="M143" s="51" t="str">
        <f>IF(AND('Mapa final'!$AB$115="Media",'Mapa final'!$AD$115="Menor"),CONCATENATE("R38C",'Mapa final'!$R$115),"")</f>
        <v>R38C1</v>
      </c>
      <c r="N143" s="52" t="str">
        <f>IF(AND('Mapa final'!$AB$116="Media",'Mapa final'!$AD$116="Menor"),CONCATENATE("R38C",'Mapa final'!$R$116),"")</f>
        <v/>
      </c>
      <c r="O143" s="125" t="str">
        <f>IF(AND('Mapa final'!$AB$117="Media",'Mapa final'!$AD$117="Menor"),CONCATENATE("R39C",'Mapa final'!$R$117),"")</f>
        <v/>
      </c>
      <c r="P143" s="51" t="str">
        <f>IF(AND('Mapa final'!$AB$115="Media",'Mapa final'!$AD$115="Moderado"),CONCATENATE("R38C",'Mapa final'!$R$115),"")</f>
        <v/>
      </c>
      <c r="Q143" s="52" t="str">
        <f>IF(AND('Mapa final'!$AB$116="Media",'Mapa final'!$AD$116="Moderado"),CONCATENATE("R38C",'Mapa final'!$R$116),"")</f>
        <v/>
      </c>
      <c r="R143" s="125" t="str">
        <f>IF(AND('Mapa final'!$AB$117="Media",'Mapa final'!$AD$117="Moderado"),CONCATENATE("R39C",'Mapa final'!$R$117),"")</f>
        <v/>
      </c>
      <c r="S143" s="119" t="str">
        <f>IF(AND('Mapa final'!$AB$115="Media",'Mapa final'!$AD$115="Mayor"),CONCATENATE("R38C",'Mapa final'!$R$115),"")</f>
        <v/>
      </c>
      <c r="T143" s="44" t="str">
        <f>IF(AND('Mapa final'!$AB$116="Media",'Mapa final'!$AD$116="Mayor"),CONCATENATE("R38C",'Mapa final'!$R$116),"")</f>
        <v/>
      </c>
      <c r="U143" s="120" t="str">
        <f>IF(AND('Mapa final'!$AB$117="Media",'Mapa final'!$AD$117="Mayor"),CONCATENATE("R39C",'Mapa final'!$R$117),"")</f>
        <v/>
      </c>
      <c r="V143" s="45" t="str">
        <f>IF(AND('Mapa final'!$AB$115="Media",'Mapa final'!$AD$115="Catastrófico"),CONCATENATE("R38C",'Mapa final'!$R$115),"")</f>
        <v/>
      </c>
      <c r="W143" s="46" t="str">
        <f>IF(AND('Mapa final'!$AB$116="Media",'Mapa final'!$AD$116="Catastrófico"),CONCATENATE("R38C",'Mapa final'!$R$116),"")</f>
        <v/>
      </c>
      <c r="X143" s="114" t="str">
        <f>IF(AND('Mapa final'!$AB$117="Media",'Mapa final'!$AD$117="Catastrófico"),CONCATENATE("R39C",'Mapa final'!$R$117),"")</f>
        <v/>
      </c>
      <c r="Y143" s="58"/>
      <c r="Z143" s="398"/>
      <c r="AA143" s="399"/>
      <c r="AB143" s="399"/>
      <c r="AC143" s="399"/>
      <c r="AD143" s="399"/>
      <c r="AE143" s="400"/>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row>
    <row r="144" spans="1:61" ht="15" customHeight="1" x14ac:dyDescent="0.25">
      <c r="A144" s="58"/>
      <c r="B144" s="356"/>
      <c r="C144" s="356"/>
      <c r="D144" s="357"/>
      <c r="E144" s="371"/>
      <c r="F144" s="372"/>
      <c r="G144" s="372"/>
      <c r="H144" s="372"/>
      <c r="I144" s="370"/>
      <c r="J144" s="51" t="str">
        <f>IF(AND('Mapa final'!$AB$118="Media",'Mapa final'!$AD$118="Leve"),CONCATENATE("R39C",'Mapa final'!$R$118),"")</f>
        <v/>
      </c>
      <c r="K144" s="52" t="str">
        <f>IF(AND('Mapa final'!$AB$119="Media",'Mapa final'!$AD$119="Leve"),CONCATENATE("R39C",'Mapa final'!$R$119),"")</f>
        <v/>
      </c>
      <c r="L144" s="125" t="str">
        <f>IF(AND('Mapa final'!$AB$120="Media",'Mapa final'!$AD$120="Leve"),CONCATENATE("R40C",'Mapa final'!$R$120),"")</f>
        <v/>
      </c>
      <c r="M144" s="51" t="str">
        <f>IF(AND('Mapa final'!$AB$118="Media",'Mapa final'!$AD$118="Menor"),CONCATENATE("R39C",'Mapa final'!$R$118),"")</f>
        <v/>
      </c>
      <c r="N144" s="52" t="str">
        <f>IF(AND('Mapa final'!$AB$119="Media",'Mapa final'!$AD$119="Menor"),CONCATENATE("R39C",'Mapa final'!$R$119),"")</f>
        <v/>
      </c>
      <c r="O144" s="125" t="str">
        <f>IF(AND('Mapa final'!$AB$120="Media",'Mapa final'!$AD$120="Menor"),CONCATENATE("R40C",'Mapa final'!$R$120),"")</f>
        <v/>
      </c>
      <c r="P144" s="51" t="str">
        <f>IF(AND('Mapa final'!$AB$118="Media",'Mapa final'!$AD$118="Moderado"),CONCATENATE("R39C",'Mapa final'!$R$118),"")</f>
        <v/>
      </c>
      <c r="Q144" s="52" t="str">
        <f>IF(AND('Mapa final'!$AB$119="Media",'Mapa final'!$AD$119="Moderado"),CONCATENATE("R39C",'Mapa final'!$R$119),"")</f>
        <v/>
      </c>
      <c r="R144" s="125" t="str">
        <f>IF(AND('Mapa final'!$AB$120="Media",'Mapa final'!$AD$120="Moderado"),CONCATENATE("R40C",'Mapa final'!$R$120),"")</f>
        <v/>
      </c>
      <c r="S144" s="119" t="str">
        <f>IF(AND('Mapa final'!$AB$118="Media",'Mapa final'!$AD$118="Mayor"),CONCATENATE("R39C",'Mapa final'!$R$118),"")</f>
        <v/>
      </c>
      <c r="T144" s="44" t="str">
        <f>IF(AND('Mapa final'!$AB$119="Media",'Mapa final'!$AD$119="Mayor"),CONCATENATE("R39C",'Mapa final'!$R$119),"")</f>
        <v/>
      </c>
      <c r="U144" s="120" t="str">
        <f>IF(AND('Mapa final'!$AB$120="Media",'Mapa final'!$AD$120="Mayor"),CONCATENATE("R40C",'Mapa final'!$R$120),"")</f>
        <v/>
      </c>
      <c r="V144" s="45" t="str">
        <f>IF(AND('Mapa final'!$AB$118="Media",'Mapa final'!$AD$118="Catastrófico"),CONCATENATE("R39C",'Mapa final'!$R$118),"")</f>
        <v/>
      </c>
      <c r="W144" s="46" t="str">
        <f>IF(AND('Mapa final'!$AB$119="Media",'Mapa final'!$AD$119="Catastrófico"),CONCATENATE("R39C",'Mapa final'!$R$119),"")</f>
        <v/>
      </c>
      <c r="X144" s="114" t="str">
        <f>IF(AND('Mapa final'!$AB$120="Media",'Mapa final'!$AD$120="Catastrófico"),CONCATENATE("R40C",'Mapa final'!$R$120),"")</f>
        <v/>
      </c>
      <c r="Y144" s="58"/>
      <c r="Z144" s="398"/>
      <c r="AA144" s="399"/>
      <c r="AB144" s="399"/>
      <c r="AC144" s="399"/>
      <c r="AD144" s="399"/>
      <c r="AE144" s="400"/>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row>
    <row r="145" spans="1:61" ht="15" customHeight="1" x14ac:dyDescent="0.25">
      <c r="A145" s="58"/>
      <c r="B145" s="356"/>
      <c r="C145" s="356"/>
      <c r="D145" s="357"/>
      <c r="E145" s="371"/>
      <c r="F145" s="372"/>
      <c r="G145" s="372"/>
      <c r="H145" s="372"/>
      <c r="I145" s="370"/>
      <c r="J145" s="51" t="str">
        <f>IF(AND('Mapa final'!$AB$121="Media",'Mapa final'!$AD$121="Leve"),CONCATENATE("R40C",'Mapa final'!$R$121),"")</f>
        <v/>
      </c>
      <c r="K145" s="52" t="str">
        <f>IF(AND('Mapa final'!$AB$122="Media",'Mapa final'!$AD$122="Leve"),CONCATENATE("R40C",'Mapa final'!$R$122),"")</f>
        <v/>
      </c>
      <c r="L145" s="125" t="str">
        <f>IF(AND('Mapa final'!$AB$123="Media",'Mapa final'!$AD$123="Leve"),CONCATENATE("R40C",'Mapa final'!$R$123),"")</f>
        <v/>
      </c>
      <c r="M145" s="51" t="str">
        <f>IF(AND('Mapa final'!$AB$121="Media",'Mapa final'!$AD$121="Menor"),CONCATENATE("R40C",'Mapa final'!$R$121),"")</f>
        <v/>
      </c>
      <c r="N145" s="52" t="str">
        <f>IF(AND('Mapa final'!$AB$122="Media",'Mapa final'!$AD$122="Menor"),CONCATENATE("R40C",'Mapa final'!$R$122),"")</f>
        <v/>
      </c>
      <c r="O145" s="125" t="str">
        <f>IF(AND('Mapa final'!$AB$123="Media",'Mapa final'!$AD$123="Menor"),CONCATENATE("R40C",'Mapa final'!$R$123),"")</f>
        <v/>
      </c>
      <c r="P145" s="51" t="str">
        <f>IF(AND('Mapa final'!$AB$121="Media",'Mapa final'!$AD$121="Moderado"),CONCATENATE("R40C",'Mapa final'!$R$121),"")</f>
        <v/>
      </c>
      <c r="Q145" s="52" t="str">
        <f>IF(AND('Mapa final'!$AB$122="Media",'Mapa final'!$AD$122="Moderado"),CONCATENATE("R40C",'Mapa final'!$R$122),"")</f>
        <v/>
      </c>
      <c r="R145" s="125" t="str">
        <f>IF(AND('Mapa final'!$AB$123="Media",'Mapa final'!$AD$123="Moderado"),CONCATENATE("R40C",'Mapa final'!$R$123),"")</f>
        <v/>
      </c>
      <c r="S145" s="119" t="str">
        <f>IF(AND('Mapa final'!$AB$121="Media",'Mapa final'!$AD$121="Mayor"),CONCATENATE("R40C",'Mapa final'!$R$121),"")</f>
        <v/>
      </c>
      <c r="T145" s="44" t="str">
        <f>IF(AND('Mapa final'!$AB$122="Media",'Mapa final'!$AD$122="Mayor"),CONCATENATE("R40C",'Mapa final'!$R$122),"")</f>
        <v/>
      </c>
      <c r="U145" s="120" t="str">
        <f>IF(AND('Mapa final'!$AB$123="Media",'Mapa final'!$AD$123="Mayor"),CONCATENATE("R40C",'Mapa final'!$R$123),"")</f>
        <v/>
      </c>
      <c r="V145" s="45" t="str">
        <f>IF(AND('Mapa final'!$AB$121="Media",'Mapa final'!$AD$121="Catastrófico"),CONCATENATE("R40C",'Mapa final'!$R$121),"")</f>
        <v/>
      </c>
      <c r="W145" s="46" t="str">
        <f>IF(AND('Mapa final'!$AB$122="Media",'Mapa final'!$AD$122="Catastrófico"),CONCATENATE("R40C",'Mapa final'!$R$122),"")</f>
        <v/>
      </c>
      <c r="X145" s="114" t="str">
        <f>IF(AND('Mapa final'!$AB$123="Media",'Mapa final'!$AD$123="Catastrófico"),CONCATENATE("R40C",'Mapa final'!$R$123),"")</f>
        <v/>
      </c>
      <c r="Y145" s="58"/>
      <c r="Z145" s="398"/>
      <c r="AA145" s="399"/>
      <c r="AB145" s="399"/>
      <c r="AC145" s="399"/>
      <c r="AD145" s="399"/>
      <c r="AE145" s="400"/>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row>
    <row r="146" spans="1:61" ht="15" customHeight="1" x14ac:dyDescent="0.25">
      <c r="A146" s="58"/>
      <c r="B146" s="356"/>
      <c r="C146" s="356"/>
      <c r="D146" s="357"/>
      <c r="E146" s="371"/>
      <c r="F146" s="372"/>
      <c r="G146" s="372"/>
      <c r="H146" s="372"/>
      <c r="I146" s="370"/>
      <c r="J146" s="51" t="str">
        <f>IF(AND('Mapa final'!$AB$124="Media",'Mapa final'!$AD$124="Leve"),CONCATENATE("R41C",'Mapa final'!$R$124),"")</f>
        <v/>
      </c>
      <c r="K146" s="52" t="str">
        <f>IF(AND('Mapa final'!$AB$125="Media",'Mapa final'!$AD$125="Leve"),CONCATENATE("R41C",'Mapa final'!$R$125),"")</f>
        <v/>
      </c>
      <c r="L146" s="125" t="str">
        <f>IF(AND('Mapa final'!$AB$126="Media",'Mapa final'!$AD$126="Leve"),CONCATENATE("R41C",'Mapa final'!$R$126),"")</f>
        <v/>
      </c>
      <c r="M146" s="51" t="str">
        <f>IF(AND('Mapa final'!$AB$124="Media",'Mapa final'!$AD$124="Menor"),CONCATENATE("R41C",'Mapa final'!$R$124),"")</f>
        <v/>
      </c>
      <c r="N146" s="52" t="str">
        <f>IF(AND('Mapa final'!$AB$125="Media",'Mapa final'!$AD$125="Menor"),CONCATENATE("R41C",'Mapa final'!$R$125),"")</f>
        <v/>
      </c>
      <c r="O146" s="125" t="str">
        <f>IF(AND('Mapa final'!$AB$126="Media",'Mapa final'!$AD$126="Menor"),CONCATENATE("R41C",'Mapa final'!$R$126),"")</f>
        <v/>
      </c>
      <c r="P146" s="51" t="str">
        <f>IF(AND('Mapa final'!$AB$124="Media",'Mapa final'!$AD$124="Moderado"),CONCATENATE("R41C",'Mapa final'!$R$124),"")</f>
        <v/>
      </c>
      <c r="Q146" s="52" t="str">
        <f>IF(AND('Mapa final'!$AB$125="Media",'Mapa final'!$AD$125="Moderado"),CONCATENATE("R41C",'Mapa final'!$R$125),"")</f>
        <v/>
      </c>
      <c r="R146" s="125" t="str">
        <f>IF(AND('Mapa final'!$AB$126="Media",'Mapa final'!$AD$126="Moderado"),CONCATENATE("R41C",'Mapa final'!$R$126),"")</f>
        <v/>
      </c>
      <c r="S146" s="119" t="str">
        <f>IF(AND('Mapa final'!$AB$124="Media",'Mapa final'!$AD$124="Mayor"),CONCATENATE("R41C",'Mapa final'!$R$124),"")</f>
        <v/>
      </c>
      <c r="T146" s="44" t="str">
        <f>IF(AND('Mapa final'!$AB$125="Media",'Mapa final'!$AD$125="Mayor"),CONCATENATE("R41C",'Mapa final'!$R$125),"")</f>
        <v/>
      </c>
      <c r="U146" s="120" t="str">
        <f>IF(AND('Mapa final'!$AB$126="Media",'Mapa final'!$AD$126="Mayor"),CONCATENATE("R41C",'Mapa final'!$R$126),"")</f>
        <v/>
      </c>
      <c r="V146" s="45" t="str">
        <f>IF(AND('Mapa final'!$AB$124="Media",'Mapa final'!$AD$124="Catastrófico"),CONCATENATE("R41C",'Mapa final'!$R$124),"")</f>
        <v/>
      </c>
      <c r="W146" s="46" t="str">
        <f>IF(AND('Mapa final'!$AB$125="Media",'Mapa final'!$AD$125="Catastrófico"),CONCATENATE("R41C",'Mapa final'!$R$125),"")</f>
        <v/>
      </c>
      <c r="X146" s="114" t="str">
        <f>IF(AND('Mapa final'!$AB$126="Media",'Mapa final'!$AD$126="Catastrófico"),CONCATENATE("R41C",'Mapa final'!$R$126),"")</f>
        <v/>
      </c>
      <c r="Y146" s="58"/>
      <c r="Z146" s="398"/>
      <c r="AA146" s="399"/>
      <c r="AB146" s="399"/>
      <c r="AC146" s="399"/>
      <c r="AD146" s="399"/>
      <c r="AE146" s="400"/>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row>
    <row r="147" spans="1:61" ht="15" customHeight="1" x14ac:dyDescent="0.25">
      <c r="A147" s="58"/>
      <c r="B147" s="356"/>
      <c r="C147" s="356"/>
      <c r="D147" s="357"/>
      <c r="E147" s="371"/>
      <c r="F147" s="372"/>
      <c r="G147" s="372"/>
      <c r="H147" s="372"/>
      <c r="I147" s="370"/>
      <c r="J147" s="51" t="str">
        <f>IF(AND('Mapa final'!$AB$127="Media",'Mapa final'!$AD$127="Leve"),CONCATENATE("R42C",'Mapa final'!$R$127),"")</f>
        <v/>
      </c>
      <c r="K147" s="52" t="str">
        <f>IF(AND('Mapa final'!$AB$128="Media",'Mapa final'!$AD$128="Leve"),CONCATENATE("R42C",'Mapa final'!$R$128),"")</f>
        <v/>
      </c>
      <c r="L147" s="125" t="str">
        <f>IF(AND('Mapa final'!$AB$129="Media",'Mapa final'!$AD$129="Leve"),CONCATENATE("R2C",'Mapa final'!$R$129),"")</f>
        <v/>
      </c>
      <c r="M147" s="51" t="str">
        <f>IF(AND('Mapa final'!$AB$127="Media",'Mapa final'!$AD$127="Menor"),CONCATENATE("R42C",'Mapa final'!$R$127),"")</f>
        <v/>
      </c>
      <c r="N147" s="52" t="str">
        <f>IF(AND('Mapa final'!$AB$128="Media",'Mapa final'!$AD$128="Menor"),CONCATENATE("R42C",'Mapa final'!$R$128),"")</f>
        <v/>
      </c>
      <c r="O147" s="125" t="str">
        <f>IF(AND('Mapa final'!$AB$129="Media",'Mapa final'!$AD$129="Menor"),CONCATENATE("R2C",'Mapa final'!$R$129),"")</f>
        <v/>
      </c>
      <c r="P147" s="51" t="str">
        <f>IF(AND('Mapa final'!$AB$127="Media",'Mapa final'!$AD$127="Moderado"),CONCATENATE("R42C",'Mapa final'!$R$127),"")</f>
        <v/>
      </c>
      <c r="Q147" s="52" t="str">
        <f>IF(AND('Mapa final'!$AB$128="Media",'Mapa final'!$AD$128="Moderado"),CONCATENATE("R42C",'Mapa final'!$R$128),"")</f>
        <v/>
      </c>
      <c r="R147" s="125" t="str">
        <f>IF(AND('Mapa final'!$AB$129="Media",'Mapa final'!$AD$129="Moderado"),CONCATENATE("R2C",'Mapa final'!$R$129),"")</f>
        <v/>
      </c>
      <c r="S147" s="119" t="str">
        <f>IF(AND('Mapa final'!$AB$127="Media",'Mapa final'!$AD$127="Mayor"),CONCATENATE("R42C",'Mapa final'!$R$127),"")</f>
        <v>R42C1</v>
      </c>
      <c r="T147" s="44" t="str">
        <f>IF(AND('Mapa final'!$AB$128="Media",'Mapa final'!$AD$128="Mayor"),CONCATENATE("R42C",'Mapa final'!$R$128),"")</f>
        <v/>
      </c>
      <c r="U147" s="120" t="str">
        <f>IF(AND('Mapa final'!$AB$129="Media",'Mapa final'!$AD$129="Mayor"),CONCATENATE("R2C",'Mapa final'!$R$129),"")</f>
        <v/>
      </c>
      <c r="V147" s="45" t="str">
        <f>IF(AND('Mapa final'!$AB$127="Media",'Mapa final'!$AD$127="Catastrófico"),CONCATENATE("R42C",'Mapa final'!$R$127),"")</f>
        <v/>
      </c>
      <c r="W147" s="46" t="str">
        <f>IF(AND('Mapa final'!$AB$128="Media",'Mapa final'!$AD$128="Catastrófico"),CONCATENATE("R42C",'Mapa final'!$R$128),"")</f>
        <v/>
      </c>
      <c r="X147" s="114" t="str">
        <f>IF(AND('Mapa final'!$AB$129="Media",'Mapa final'!$AD$129="Catastrófico"),CONCATENATE("R2C",'Mapa final'!$R$129),"")</f>
        <v/>
      </c>
      <c r="Y147" s="58"/>
      <c r="Z147" s="398"/>
      <c r="AA147" s="399"/>
      <c r="AB147" s="399"/>
      <c r="AC147" s="399"/>
      <c r="AD147" s="399"/>
      <c r="AE147" s="400"/>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row>
    <row r="148" spans="1:61" ht="15" customHeight="1" x14ac:dyDescent="0.25">
      <c r="A148" s="58"/>
      <c r="B148" s="356"/>
      <c r="C148" s="356"/>
      <c r="D148" s="357"/>
      <c r="E148" s="371"/>
      <c r="F148" s="372"/>
      <c r="G148" s="372"/>
      <c r="H148" s="372"/>
      <c r="I148" s="370"/>
      <c r="J148" s="51" t="str">
        <f>IF(AND('Mapa final'!$AB$130="Media",'Mapa final'!$AD$130="Leve"),CONCATENATE("R43C",'Mapa final'!$R$130),"")</f>
        <v/>
      </c>
      <c r="K148" s="52" t="str">
        <f>IF(AND('Mapa final'!$AB$131="Media",'Mapa final'!$AD$131="Leve"),CONCATENATE("R43C",'Mapa final'!$R$131),"")</f>
        <v/>
      </c>
      <c r="L148" s="125" t="str">
        <f>IF(AND('Mapa final'!$AB$132="Media",'Mapa final'!$AD$132="Leve"),CONCATENATE("R43C",'Mapa final'!$R$132),"")</f>
        <v/>
      </c>
      <c r="M148" s="51" t="str">
        <f>IF(AND('Mapa final'!$AB$130="Media",'Mapa final'!$AD$130="Menor"),CONCATENATE("R43C",'Mapa final'!$R$130),"")</f>
        <v/>
      </c>
      <c r="N148" s="52" t="str">
        <f>IF(AND('Mapa final'!$AB$131="Media",'Mapa final'!$AD$131="Menor"),CONCATENATE("R43C",'Mapa final'!$R$131),"")</f>
        <v/>
      </c>
      <c r="O148" s="125" t="str">
        <f>IF(AND('Mapa final'!$AB$132="Media",'Mapa final'!$AD$132="Menor"),CONCATENATE("R43C",'Mapa final'!$R$132),"")</f>
        <v/>
      </c>
      <c r="P148" s="51" t="str">
        <f>IF(AND('Mapa final'!$AB$130="Media",'Mapa final'!$AD$130="Moderado"),CONCATENATE("R43C",'Mapa final'!$R$130),"")</f>
        <v>R43C1</v>
      </c>
      <c r="Q148" s="52" t="str">
        <f>IF(AND('Mapa final'!$AB$131="Media",'Mapa final'!$AD$131="Moderado"),CONCATENATE("R43C",'Mapa final'!$R$131),"")</f>
        <v/>
      </c>
      <c r="R148" s="125" t="str">
        <f>IF(AND('Mapa final'!$AB$132="Media",'Mapa final'!$AD$132="Moderado"),CONCATENATE("R43C",'Mapa final'!$R$132),"")</f>
        <v/>
      </c>
      <c r="S148" s="119" t="str">
        <f>IF(AND('Mapa final'!$AB$130="Media",'Mapa final'!$AD$130="Mayor"),CONCATENATE("R43C",'Mapa final'!$R$130),"")</f>
        <v/>
      </c>
      <c r="T148" s="44" t="str">
        <f>IF(AND('Mapa final'!$AB$131="Media",'Mapa final'!$AD$131="Mayor"),CONCATENATE("R43C",'Mapa final'!$R$131),"")</f>
        <v/>
      </c>
      <c r="U148" s="120" t="str">
        <f>IF(AND('Mapa final'!$AB$132="Media",'Mapa final'!$AD$132="Mayor"),CONCATENATE("R43C",'Mapa final'!$R$132),"")</f>
        <v/>
      </c>
      <c r="V148" s="45" t="str">
        <f>IF(AND('Mapa final'!$AB$130="Media",'Mapa final'!$AD$130="Catastrófico"),CONCATENATE("R43C",'Mapa final'!$R$130),"")</f>
        <v/>
      </c>
      <c r="W148" s="46" t="str">
        <f>IF(AND('Mapa final'!$AB$131="Media",'Mapa final'!$AD$131="Catastrófico"),CONCATENATE("R43C",'Mapa final'!$R$131),"")</f>
        <v/>
      </c>
      <c r="X148" s="114" t="str">
        <f>IF(AND('Mapa final'!$AB$132="Media",'Mapa final'!$AD$132="Catastrófico"),CONCATENATE("R43C",'Mapa final'!$R$132),"")</f>
        <v/>
      </c>
      <c r="Y148" s="58"/>
      <c r="Z148" s="398"/>
      <c r="AA148" s="399"/>
      <c r="AB148" s="399"/>
      <c r="AC148" s="399"/>
      <c r="AD148" s="399"/>
      <c r="AE148" s="400"/>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row>
    <row r="149" spans="1:61" ht="15" customHeight="1" x14ac:dyDescent="0.25">
      <c r="A149" s="58"/>
      <c r="B149" s="356"/>
      <c r="C149" s="356"/>
      <c r="D149" s="357"/>
      <c r="E149" s="371"/>
      <c r="F149" s="372"/>
      <c r="G149" s="372"/>
      <c r="H149" s="372"/>
      <c r="I149" s="370"/>
      <c r="J149" s="51" t="str">
        <f>IF(AND('Mapa final'!$AB$133="Media",'Mapa final'!$AD$133="Leve"),CONCATENATE("R44C",'Mapa final'!$R$133),"")</f>
        <v>R44C1</v>
      </c>
      <c r="K149" s="52" t="str">
        <f>IF(AND('Mapa final'!$AB$134="Media",'Mapa final'!$AD$134="Leve"),CONCATENATE("R44C",'Mapa final'!$R$134),"")</f>
        <v/>
      </c>
      <c r="L149" s="125" t="str">
        <f>IF(AND('Mapa final'!$AB$135="Media",'Mapa final'!$AD$135="Leve"),CONCATENATE("R44C",'Mapa final'!$R$135),"")</f>
        <v/>
      </c>
      <c r="M149" s="51" t="str">
        <f>IF(AND('Mapa final'!$AB$133="Media",'Mapa final'!$AD$133="Menor"),CONCATENATE("R44C",'Mapa final'!$R$133),"")</f>
        <v/>
      </c>
      <c r="N149" s="52" t="str">
        <f>IF(AND('Mapa final'!$AB$134="Media",'Mapa final'!$AD$134="Menor"),CONCATENATE("R44C",'Mapa final'!$R$134),"")</f>
        <v/>
      </c>
      <c r="O149" s="125" t="str">
        <f>IF(AND('Mapa final'!$AB$135="Media",'Mapa final'!$AD$135="Menor"),CONCATENATE("R44C",'Mapa final'!$R$135),"")</f>
        <v/>
      </c>
      <c r="P149" s="51" t="str">
        <f>IF(AND('Mapa final'!$AB$133="Media",'Mapa final'!$AD$133="Moderado"),CONCATENATE("R44C",'Mapa final'!$R$133),"")</f>
        <v/>
      </c>
      <c r="Q149" s="52" t="str">
        <f>IF(AND('Mapa final'!$AB$134="Media",'Mapa final'!$AD$134="Moderado"),CONCATENATE("R44C",'Mapa final'!$R$134),"")</f>
        <v/>
      </c>
      <c r="R149" s="125" t="str">
        <f>IF(AND('Mapa final'!$AB$135="Media",'Mapa final'!$AD$135="Moderado"),CONCATENATE("R44C",'Mapa final'!$R$135),"")</f>
        <v/>
      </c>
      <c r="S149" s="119" t="str">
        <f>IF(AND('Mapa final'!$AB$133="Media",'Mapa final'!$AD$133="Mayor"),CONCATENATE("R44C",'Mapa final'!$R$133),"")</f>
        <v/>
      </c>
      <c r="T149" s="44" t="str">
        <f>IF(AND('Mapa final'!$AB$134="Media",'Mapa final'!$AD$134="Mayor"),CONCATENATE("R44C",'Mapa final'!$R$134),"")</f>
        <v/>
      </c>
      <c r="U149" s="120" t="str">
        <f>IF(AND('Mapa final'!$AB$135="Media",'Mapa final'!$AD$135="Mayor"),CONCATENATE("R44C",'Mapa final'!$R$135),"")</f>
        <v/>
      </c>
      <c r="V149" s="45" t="str">
        <f>IF(AND('Mapa final'!$AB$133="Media",'Mapa final'!$AD$133="Catastrófico"),CONCATENATE("R44C",'Mapa final'!$R$133),"")</f>
        <v/>
      </c>
      <c r="W149" s="46" t="str">
        <f>IF(AND('Mapa final'!$AB$134="Media",'Mapa final'!$AD$134="Catastrófico"),CONCATENATE("R44C",'Mapa final'!$R$134),"")</f>
        <v/>
      </c>
      <c r="X149" s="114" t="str">
        <f>IF(AND('Mapa final'!$AB$135="Media",'Mapa final'!$AD$135="Catastrófico"),CONCATENATE("R44C",'Mapa final'!$R$135),"")</f>
        <v/>
      </c>
      <c r="Y149" s="58"/>
      <c r="Z149" s="398"/>
      <c r="AA149" s="399"/>
      <c r="AB149" s="399"/>
      <c r="AC149" s="399"/>
      <c r="AD149" s="399"/>
      <c r="AE149" s="400"/>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58"/>
      <c r="BF149" s="58"/>
      <c r="BG149" s="58"/>
      <c r="BH149" s="58"/>
      <c r="BI149" s="58"/>
    </row>
    <row r="150" spans="1:61" ht="15" customHeight="1" x14ac:dyDescent="0.25">
      <c r="A150" s="58"/>
      <c r="B150" s="356"/>
      <c r="C150" s="356"/>
      <c r="D150" s="357"/>
      <c r="E150" s="371"/>
      <c r="F150" s="372"/>
      <c r="G150" s="372"/>
      <c r="H150" s="372"/>
      <c r="I150" s="370"/>
      <c r="J150" s="51" t="str">
        <f>IF(AND('Mapa final'!$AB$136="Media",'Mapa final'!$AD$136="Leve"),CONCATENATE("R45C",'Mapa final'!$R$136),"")</f>
        <v/>
      </c>
      <c r="K150" s="52" t="str">
        <f>IF(AND('Mapa final'!$AB$137="Media",'Mapa final'!$AD$137="Leve"),CONCATENATE("R45C",'Mapa final'!$R$137),"")</f>
        <v/>
      </c>
      <c r="L150" s="125" t="str">
        <f>IF(AND('Mapa final'!$AB$138="Media",'Mapa final'!$AD$138="Leve"),CONCATENATE("R45C",'Mapa final'!$R$138),"")</f>
        <v/>
      </c>
      <c r="M150" s="51" t="str">
        <f>IF(AND('Mapa final'!$AB$136="Media",'Mapa final'!$AD$136="Menor"),CONCATENATE("R45C",'Mapa final'!$R$136),"")</f>
        <v/>
      </c>
      <c r="N150" s="52" t="str">
        <f>IF(AND('Mapa final'!$AB$137="Media",'Mapa final'!$AD$137="Menor"),CONCATENATE("R45C",'Mapa final'!$R$137),"")</f>
        <v/>
      </c>
      <c r="O150" s="125" t="str">
        <f>IF(AND('Mapa final'!$AB$138="Media",'Mapa final'!$AD$138="Menor"),CONCATENATE("R45C",'Mapa final'!$R$138),"")</f>
        <v/>
      </c>
      <c r="P150" s="51" t="str">
        <f>IF(AND('Mapa final'!$AB$136="Media",'Mapa final'!$AD$136="Moderado"),CONCATENATE("R45C",'Mapa final'!$R$136),"")</f>
        <v/>
      </c>
      <c r="Q150" s="52" t="str">
        <f>IF(AND('Mapa final'!$AB$137="Media",'Mapa final'!$AD$137="Moderado"),CONCATENATE("R45C",'Mapa final'!$R$137),"")</f>
        <v/>
      </c>
      <c r="R150" s="125" t="str">
        <f>IF(AND('Mapa final'!$AB$138="Media",'Mapa final'!$AD$138="Moderado"),CONCATENATE("R45C",'Mapa final'!$R$138),"")</f>
        <v/>
      </c>
      <c r="S150" s="119" t="str">
        <f>IF(AND('Mapa final'!$AB$136="Media",'Mapa final'!$AD$136="Mayor"),CONCATENATE("R45C",'Mapa final'!$R$136),"")</f>
        <v/>
      </c>
      <c r="T150" s="44" t="str">
        <f>IF(AND('Mapa final'!$AB$137="Media",'Mapa final'!$AD$137="Mayor"),CONCATENATE("R45C",'Mapa final'!$R$137),"")</f>
        <v/>
      </c>
      <c r="U150" s="120" t="str">
        <f>IF(AND('Mapa final'!$AB$138="Media",'Mapa final'!$AD$138="Mayor"),CONCATENATE("R45C",'Mapa final'!$R$138),"")</f>
        <v/>
      </c>
      <c r="V150" s="45" t="str">
        <f>IF(AND('Mapa final'!$AB$136="Media",'Mapa final'!$AD$136="Catastrófico"),CONCATENATE("R45C",'Mapa final'!$R$136),"")</f>
        <v/>
      </c>
      <c r="W150" s="46" t="str">
        <f>IF(AND('Mapa final'!$AB$137="Media",'Mapa final'!$AD$137="Catastrófico"),CONCATENATE("R45C",'Mapa final'!$R$137),"")</f>
        <v/>
      </c>
      <c r="X150" s="114" t="str">
        <f>IF(AND('Mapa final'!$AB$138="Media",'Mapa final'!$AD$138="Catastrófico"),CONCATENATE("R45C",'Mapa final'!$R$138),"")</f>
        <v/>
      </c>
      <c r="Y150" s="58"/>
      <c r="Z150" s="398"/>
      <c r="AA150" s="399"/>
      <c r="AB150" s="399"/>
      <c r="AC150" s="399"/>
      <c r="AD150" s="399"/>
      <c r="AE150" s="400"/>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58"/>
      <c r="BD150" s="58"/>
      <c r="BE150" s="58"/>
      <c r="BF150" s="58"/>
      <c r="BG150" s="58"/>
      <c r="BH150" s="58"/>
      <c r="BI150" s="58"/>
    </row>
    <row r="151" spans="1:61" ht="15" customHeight="1" x14ac:dyDescent="0.25">
      <c r="A151" s="58"/>
      <c r="B151" s="356"/>
      <c r="C151" s="356"/>
      <c r="D151" s="357"/>
      <c r="E151" s="371"/>
      <c r="F151" s="372"/>
      <c r="G151" s="372"/>
      <c r="H151" s="372"/>
      <c r="I151" s="370"/>
      <c r="J151" s="51" t="str">
        <f>IF(AND('Mapa final'!$AB$139="Media",'Mapa final'!$AD$139="Leve"),CONCATENATE("R46C",'Mapa final'!$R$139),"")</f>
        <v/>
      </c>
      <c r="K151" s="52" t="str">
        <f>IF(AND('Mapa final'!$AB$140="Media",'Mapa final'!$AD$140="Leve"),CONCATENATE("R46C",'Mapa final'!$R$140),"")</f>
        <v/>
      </c>
      <c r="L151" s="125" t="str">
        <f>IF(AND('Mapa final'!$AB$141="Media",'Mapa final'!$AD$141="Leve"),CONCATENATE("R46C",'Mapa final'!$R$141),"")</f>
        <v/>
      </c>
      <c r="M151" s="51" t="str">
        <f>IF(AND('Mapa final'!$AB$139="Media",'Mapa final'!$AD$139="Menor"),CONCATENATE("R46C",'Mapa final'!$R$139),"")</f>
        <v/>
      </c>
      <c r="N151" s="52" t="str">
        <f>IF(AND('Mapa final'!$AB$140="Media",'Mapa final'!$AD$140="Menor"),CONCATENATE("R46C",'Mapa final'!$R$140),"")</f>
        <v/>
      </c>
      <c r="O151" s="125" t="str">
        <f>IF(AND('Mapa final'!$AB$141="Media",'Mapa final'!$AD$141="Menor"),CONCATENATE("R46C",'Mapa final'!$R$141),"")</f>
        <v/>
      </c>
      <c r="P151" s="51" t="str">
        <f>IF(AND('Mapa final'!$AB$139="Media",'Mapa final'!$AD$139="Moderado"),CONCATENATE("R46C",'Mapa final'!$R$139),"")</f>
        <v/>
      </c>
      <c r="Q151" s="52" t="str">
        <f>IF(AND('Mapa final'!$AB$140="Media",'Mapa final'!$AD$140="Moderado"),CONCATENATE("R46C",'Mapa final'!$R$140),"")</f>
        <v/>
      </c>
      <c r="R151" s="125" t="str">
        <f>IF(AND('Mapa final'!$AB$141="Media",'Mapa final'!$AD$141="Moderado"),CONCATENATE("R46C",'Mapa final'!$R$141),"")</f>
        <v/>
      </c>
      <c r="S151" s="119" t="str">
        <f>IF(AND('Mapa final'!$AB$139="Media",'Mapa final'!$AD$139="Mayor"),CONCATENATE("R46C",'Mapa final'!$R$139),"")</f>
        <v/>
      </c>
      <c r="T151" s="44" t="str">
        <f>IF(AND('Mapa final'!$AB$140="Media",'Mapa final'!$AD$140="Mayor"),CONCATENATE("R46C",'Mapa final'!$R$140),"")</f>
        <v/>
      </c>
      <c r="U151" s="120" t="str">
        <f>IF(AND('Mapa final'!$AB$141="Media",'Mapa final'!$AD$141="Mayor"),CONCATENATE("R46C",'Mapa final'!$R$141),"")</f>
        <v/>
      </c>
      <c r="V151" s="45" t="str">
        <f>IF(AND('Mapa final'!$AB$139="Media",'Mapa final'!$AD$139="Catastrófico"),CONCATENATE("R46C",'Mapa final'!$R$139),"")</f>
        <v/>
      </c>
      <c r="W151" s="46" t="str">
        <f>IF(AND('Mapa final'!$AB$140="Media",'Mapa final'!$AD$140="Catastrófico"),CONCATENATE("R46C",'Mapa final'!$R$140),"")</f>
        <v/>
      </c>
      <c r="X151" s="114" t="str">
        <f>IF(AND('Mapa final'!$AB$141="Media",'Mapa final'!$AD$141="Catastrófico"),CONCATENATE("R46C",'Mapa final'!$R$141),"")</f>
        <v/>
      </c>
      <c r="Y151" s="58"/>
      <c r="Z151" s="398"/>
      <c r="AA151" s="399"/>
      <c r="AB151" s="399"/>
      <c r="AC151" s="399"/>
      <c r="AD151" s="399"/>
      <c r="AE151" s="400"/>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row>
    <row r="152" spans="1:61" ht="15" customHeight="1" x14ac:dyDescent="0.25">
      <c r="A152" s="58"/>
      <c r="B152" s="356"/>
      <c r="C152" s="356"/>
      <c r="D152" s="357"/>
      <c r="E152" s="371"/>
      <c r="F152" s="372"/>
      <c r="G152" s="372"/>
      <c r="H152" s="372"/>
      <c r="I152" s="370"/>
      <c r="J152" s="51" t="str">
        <f>IF(AND('Mapa final'!$AB$142="Media",'Mapa final'!$AD$142="Leve"),CONCATENATE("R47C",'Mapa final'!$R$142),"")</f>
        <v/>
      </c>
      <c r="K152" s="52" t="str">
        <f>IF(AND('Mapa final'!$AB$143="Media",'Mapa final'!$AD$143="Leve"),CONCATENATE("R47C",'Mapa final'!$R$143),"")</f>
        <v/>
      </c>
      <c r="L152" s="125" t="str">
        <f>IF(AND('Mapa final'!$AB$144="Media",'Mapa final'!$AD$144="Leve"),CONCATENATE("R47C",'Mapa final'!$R$144),"")</f>
        <v/>
      </c>
      <c r="M152" s="51" t="str">
        <f>IF(AND('Mapa final'!$AB$142="Media",'Mapa final'!$AD$142="Menor"),CONCATENATE("R47C",'Mapa final'!$R$142),"")</f>
        <v/>
      </c>
      <c r="N152" s="52" t="str">
        <f>IF(AND('Mapa final'!$AB$143="Media",'Mapa final'!$AD$143="Menor"),CONCATENATE("R47C",'Mapa final'!$R$143),"")</f>
        <v/>
      </c>
      <c r="O152" s="125" t="str">
        <f>IF(AND('Mapa final'!$AB$144="Media",'Mapa final'!$AD$144="Menor"),CONCATENATE("R47C",'Mapa final'!$R$144),"")</f>
        <v/>
      </c>
      <c r="P152" s="51" t="str">
        <f>IF(AND('Mapa final'!$AB$142="Media",'Mapa final'!$AD$142="Moderado"),CONCATENATE("R47C",'Mapa final'!$R$142),"")</f>
        <v/>
      </c>
      <c r="Q152" s="52" t="str">
        <f>IF(AND('Mapa final'!$AB$143="Media",'Mapa final'!$AD$143="Moderado"),CONCATENATE("R47C",'Mapa final'!$R$143),"")</f>
        <v/>
      </c>
      <c r="R152" s="125" t="str">
        <f>IF(AND('Mapa final'!$AB$144="Media",'Mapa final'!$AD$144="Moderado"),CONCATENATE("R47C",'Mapa final'!$R$144),"")</f>
        <v/>
      </c>
      <c r="S152" s="119" t="str">
        <f>IF(AND('Mapa final'!$AB$142="Media",'Mapa final'!$AD$142="Mayor"),CONCATENATE("R47C",'Mapa final'!$R$142),"")</f>
        <v/>
      </c>
      <c r="T152" s="44" t="str">
        <f>IF(AND('Mapa final'!$AB$143="Media",'Mapa final'!$AD$143="Mayor"),CONCATENATE("R47C",'Mapa final'!$R$143),"")</f>
        <v/>
      </c>
      <c r="U152" s="120" t="str">
        <f>IF(AND('Mapa final'!$AB$144="Media",'Mapa final'!$AD$144="Mayor"),CONCATENATE("R47C",'Mapa final'!$R$144),"")</f>
        <v/>
      </c>
      <c r="V152" s="45" t="str">
        <f>IF(AND('Mapa final'!$AB$142="Media",'Mapa final'!$AD$142="Catastrófico"),CONCATENATE("R47C",'Mapa final'!$R$142),"")</f>
        <v/>
      </c>
      <c r="W152" s="46" t="str">
        <f>IF(AND('Mapa final'!$AB$143="Media",'Mapa final'!$AD$143="Catastrófico"),CONCATENATE("R47C",'Mapa final'!$R$143),"")</f>
        <v/>
      </c>
      <c r="X152" s="114" t="str">
        <f>IF(AND('Mapa final'!$AB$144="Media",'Mapa final'!$AD$144="Catastrófico"),CONCATENATE("R47C",'Mapa final'!$R$144),"")</f>
        <v/>
      </c>
      <c r="Y152" s="58"/>
      <c r="Z152" s="398"/>
      <c r="AA152" s="399"/>
      <c r="AB152" s="399"/>
      <c r="AC152" s="399"/>
      <c r="AD152" s="399"/>
      <c r="AE152" s="400"/>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row>
    <row r="153" spans="1:61" ht="15" customHeight="1" x14ac:dyDescent="0.25">
      <c r="A153" s="58"/>
      <c r="B153" s="356"/>
      <c r="C153" s="356"/>
      <c r="D153" s="357"/>
      <c r="E153" s="371"/>
      <c r="F153" s="372"/>
      <c r="G153" s="372"/>
      <c r="H153" s="372"/>
      <c r="I153" s="370"/>
      <c r="J153" s="51" t="str">
        <f>IF(AND('Mapa final'!$AB$145="Media",'Mapa final'!$AD$145="Leve"),CONCATENATE("R48C",'Mapa final'!$R$145),"")</f>
        <v/>
      </c>
      <c r="K153" s="52" t="str">
        <f>IF(AND('Mapa final'!$AB$146="Media",'Mapa final'!$AD$146="Leve"),CONCATENATE("R48C",'Mapa final'!$R$146),"")</f>
        <v/>
      </c>
      <c r="L153" s="125" t="str">
        <f>IF(AND('Mapa final'!$AB$147="Media",'Mapa final'!$AD$147="Leve"),CONCATENATE("R48C",'Mapa final'!$R$147),"")</f>
        <v/>
      </c>
      <c r="M153" s="51" t="str">
        <f>IF(AND('Mapa final'!$AB$145="Media",'Mapa final'!$AD$145="Menor"),CONCATENATE("R48C",'Mapa final'!$R$145),"")</f>
        <v/>
      </c>
      <c r="N153" s="52" t="str">
        <f>IF(AND('Mapa final'!$AB$146="Media",'Mapa final'!$AD$146="Menor"),CONCATENATE("R48C",'Mapa final'!$R$146),"")</f>
        <v/>
      </c>
      <c r="O153" s="125" t="str">
        <f>IF(AND('Mapa final'!$AB$147="Media",'Mapa final'!$AD$147="Menor"),CONCATENATE("R48C",'Mapa final'!$R$147),"")</f>
        <v/>
      </c>
      <c r="P153" s="51" t="str">
        <f>IF(AND('Mapa final'!$AB$145="Media",'Mapa final'!$AD$145="Moderado"),CONCATENATE("R48C",'Mapa final'!$R$145),"")</f>
        <v/>
      </c>
      <c r="Q153" s="52" t="str">
        <f>IF(AND('Mapa final'!$AB$146="Media",'Mapa final'!$AD$146="Moderado"),CONCATENATE("R48C",'Mapa final'!$R$146),"")</f>
        <v/>
      </c>
      <c r="R153" s="125" t="str">
        <f>IF(AND('Mapa final'!$AB$147="Media",'Mapa final'!$AD$147="Moderado"),CONCATENATE("R48C",'Mapa final'!$R$147),"")</f>
        <v/>
      </c>
      <c r="S153" s="119" t="str">
        <f>IF(AND('Mapa final'!$AB$145="Media",'Mapa final'!$AD$145="Mayor"),CONCATENATE("R48C",'Mapa final'!$R$145),"")</f>
        <v/>
      </c>
      <c r="T153" s="44" t="str">
        <f>IF(AND('Mapa final'!$AB$146="Media",'Mapa final'!$AD$146="Mayor"),CONCATENATE("R48C",'Mapa final'!$R$146),"")</f>
        <v/>
      </c>
      <c r="U153" s="120" t="str">
        <f>IF(AND('Mapa final'!$AB$147="Media",'Mapa final'!$AD$147="Mayor"),CONCATENATE("R48C",'Mapa final'!$R$147),"")</f>
        <v/>
      </c>
      <c r="V153" s="45" t="str">
        <f>IF(AND('Mapa final'!$AB$145="Media",'Mapa final'!$AD$145="Catastrófico"),CONCATENATE("R48C",'Mapa final'!$R$145),"")</f>
        <v/>
      </c>
      <c r="W153" s="46" t="str">
        <f>IF(AND('Mapa final'!$AB$146="Media",'Mapa final'!$AD$146="Catastrófico"),CONCATENATE("R48C",'Mapa final'!$R$146),"")</f>
        <v/>
      </c>
      <c r="X153" s="114" t="str">
        <f>IF(AND('Mapa final'!$AB$147="Media",'Mapa final'!$AD$147="Catastrófico"),CONCATENATE("R48C",'Mapa final'!$R$147),"")</f>
        <v/>
      </c>
      <c r="Y153" s="58"/>
      <c r="Z153" s="398"/>
      <c r="AA153" s="399"/>
      <c r="AB153" s="399"/>
      <c r="AC153" s="399"/>
      <c r="AD153" s="399"/>
      <c r="AE153" s="400"/>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c r="BI153" s="58"/>
    </row>
    <row r="154" spans="1:61" ht="15" customHeight="1" x14ac:dyDescent="0.25">
      <c r="A154" s="58"/>
      <c r="B154" s="356"/>
      <c r="C154" s="356"/>
      <c r="D154" s="357"/>
      <c r="E154" s="371"/>
      <c r="F154" s="372"/>
      <c r="G154" s="372"/>
      <c r="H154" s="372"/>
      <c r="I154" s="370"/>
      <c r="J154" s="51" t="str">
        <f>IF(AND('Mapa final'!$AB$148="Media",'Mapa final'!$AD$148="Leve"),CONCATENATE("R49C",'Mapa final'!$R$148),"")</f>
        <v/>
      </c>
      <c r="K154" s="52" t="str">
        <f>IF(AND('Mapa final'!$AB$149="Media",'Mapa final'!$AD$149="Leve"),CONCATENATE("R49C",'Mapa final'!$R$149),"")</f>
        <v/>
      </c>
      <c r="L154" s="125" t="str">
        <f>IF(AND('Mapa final'!$AB$150="Media",'Mapa final'!$AD$150="Leve"),CONCATENATE("R49C",'Mapa final'!$R$150),"")</f>
        <v/>
      </c>
      <c r="M154" s="51" t="str">
        <f>IF(AND('Mapa final'!$AB$148="Media",'Mapa final'!$AD$148="Menor"),CONCATENATE("R49C",'Mapa final'!$R$148),"")</f>
        <v/>
      </c>
      <c r="N154" s="52" t="str">
        <f>IF(AND('Mapa final'!$AB$149="Media",'Mapa final'!$AD$149="Menor"),CONCATENATE("R49C",'Mapa final'!$R$149),"")</f>
        <v/>
      </c>
      <c r="O154" s="125" t="str">
        <f>IF(AND('Mapa final'!$AB$150="Media",'Mapa final'!$AD$150="Menor"),CONCATENATE("R49C",'Mapa final'!$R$150),"")</f>
        <v/>
      </c>
      <c r="P154" s="51" t="str">
        <f>IF(AND('Mapa final'!$AB$148="Media",'Mapa final'!$AD$148="Moderado"),CONCATENATE("R49C",'Mapa final'!$R$148),"")</f>
        <v/>
      </c>
      <c r="Q154" s="52" t="str">
        <f>IF(AND('Mapa final'!$AB$149="Media",'Mapa final'!$AD$149="Moderado"),CONCATENATE("R49C",'Mapa final'!$R$149),"")</f>
        <v/>
      </c>
      <c r="R154" s="125" t="str">
        <f>IF(AND('Mapa final'!$AB$150="Media",'Mapa final'!$AD$150="Moderado"),CONCATENATE("R49C",'Mapa final'!$R$150),"")</f>
        <v/>
      </c>
      <c r="S154" s="119" t="str">
        <f>IF(AND('Mapa final'!$AB$148="Media",'Mapa final'!$AD$148="Mayor"),CONCATENATE("R49C",'Mapa final'!$R$148),"")</f>
        <v/>
      </c>
      <c r="T154" s="44" t="str">
        <f>IF(AND('Mapa final'!$AB$149="Media",'Mapa final'!$AD$149="Mayor"),CONCATENATE("R49C",'Mapa final'!$R$149),"")</f>
        <v/>
      </c>
      <c r="U154" s="120" t="str">
        <f>IF(AND('Mapa final'!$AB$150="Media",'Mapa final'!$AD$150="Mayor"),CONCATENATE("R49C",'Mapa final'!$R$150),"")</f>
        <v/>
      </c>
      <c r="V154" s="45" t="str">
        <f>IF(AND('Mapa final'!$AB$148="Media",'Mapa final'!$AD$148="Catastrófico"),CONCATENATE("R49C",'Mapa final'!$R$148),"")</f>
        <v/>
      </c>
      <c r="W154" s="46" t="str">
        <f>IF(AND('Mapa final'!$AB$149="Media",'Mapa final'!$AD$149="Catastrófico"),CONCATENATE("R49C",'Mapa final'!$R$149),"")</f>
        <v/>
      </c>
      <c r="X154" s="114" t="str">
        <f>IF(AND('Mapa final'!$AB$150="Media",'Mapa final'!$AD$150="Catastrófico"),CONCATENATE("R49C",'Mapa final'!$R$150),"")</f>
        <v/>
      </c>
      <c r="Y154" s="58"/>
      <c r="Z154" s="398"/>
      <c r="AA154" s="399"/>
      <c r="AB154" s="399"/>
      <c r="AC154" s="399"/>
      <c r="AD154" s="399"/>
      <c r="AE154" s="400"/>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c r="BI154" s="58"/>
    </row>
    <row r="155" spans="1:61" ht="15.75" customHeight="1" thickBot="1" x14ac:dyDescent="0.3">
      <c r="A155" s="58"/>
      <c r="B155" s="356"/>
      <c r="C155" s="356"/>
      <c r="D155" s="357"/>
      <c r="E155" s="373"/>
      <c r="F155" s="374"/>
      <c r="G155" s="374"/>
      <c r="H155" s="374"/>
      <c r="I155" s="374"/>
      <c r="J155" s="53" t="str">
        <f>IF(AND('Mapa final'!$AB$151="Media",'Mapa final'!$AD$151="Leve"),CONCATENATE("R50C",'Mapa final'!$R$151),"")</f>
        <v/>
      </c>
      <c r="K155" s="54" t="str">
        <f>IF(AND('Mapa final'!$AB$152="Media",'Mapa final'!$AD$152="Leve"),CONCATENATE("R50C",'Mapa final'!$R$152),"")</f>
        <v/>
      </c>
      <c r="L155" s="126" t="str">
        <f>IF(AND('Mapa final'!$AB$153="Media",'Mapa final'!$AD$153="Leve"),CONCATENATE("R50C",'Mapa final'!$R$153),"")</f>
        <v/>
      </c>
      <c r="M155" s="53" t="str">
        <f>IF(AND('Mapa final'!$AB$151="Media",'Mapa final'!$AD$151="Menor"),CONCATENATE("R50C",'Mapa final'!$R$151),"")</f>
        <v/>
      </c>
      <c r="N155" s="54" t="str">
        <f>IF(AND('Mapa final'!$AB$152="Media",'Mapa final'!$AD$152="Menor"),CONCATENATE("R50C",'Mapa final'!$R$152),"")</f>
        <v/>
      </c>
      <c r="O155" s="126" t="str">
        <f>IF(AND('Mapa final'!$AB$153="Media",'Mapa final'!$AD$153="Menor"),CONCATENATE("R50C",'Mapa final'!$R$153),"")</f>
        <v/>
      </c>
      <c r="P155" s="53" t="str">
        <f>IF(AND('Mapa final'!$AB$151="Media",'Mapa final'!$AD$151="Moderado"),CONCATENATE("R50C",'Mapa final'!$R$151),"")</f>
        <v/>
      </c>
      <c r="Q155" s="54" t="str">
        <f>IF(AND('Mapa final'!$AB$152="Media",'Mapa final'!$AD$152="Moderado"),CONCATENATE("R50C",'Mapa final'!$R$152),"")</f>
        <v/>
      </c>
      <c r="R155" s="126" t="str">
        <f>IF(AND('Mapa final'!$AB$153="Media",'Mapa final'!$AD$153="Moderado"),CONCATENATE("R50C",'Mapa final'!$R$153),"")</f>
        <v/>
      </c>
      <c r="S155" s="121" t="str">
        <f>IF(AND('Mapa final'!$AB$151="Media",'Mapa final'!$AD$151="Mayor"),CONCATENATE("R50C",'Mapa final'!$R$151),"")</f>
        <v/>
      </c>
      <c r="T155" s="122" t="str">
        <f>IF(AND('Mapa final'!$AB$152="Media",'Mapa final'!$AD$152="Mayor"),CONCATENATE("R50C",'Mapa final'!$R$152),"")</f>
        <v/>
      </c>
      <c r="U155" s="123" t="str">
        <f>IF(AND('Mapa final'!$AB$153="Media",'Mapa final'!$AD$153="Mayor"),CONCATENATE("R50C",'Mapa final'!$R$153),"")</f>
        <v/>
      </c>
      <c r="V155" s="47" t="str">
        <f>IF(AND('Mapa final'!$AB$151="Media",'Mapa final'!$AD$151="Catastrófico"),CONCATENATE("R50C",'Mapa final'!$R$151),"")</f>
        <v/>
      </c>
      <c r="W155" s="48" t="str">
        <f>IF(AND('Mapa final'!$AB$152="Media",'Mapa final'!$AD$152="Catastrófico"),CONCATENATE("R50C",'Mapa final'!$R$152),"")</f>
        <v/>
      </c>
      <c r="X155" s="115" t="str">
        <f>IF(AND('Mapa final'!$AB$153="Media",'Mapa final'!$AD$153="Catastrófico"),CONCATENATE("R50C",'Mapa final'!$R$153),"")</f>
        <v/>
      </c>
      <c r="Y155" s="58"/>
      <c r="Z155" s="401"/>
      <c r="AA155" s="402"/>
      <c r="AB155" s="402"/>
      <c r="AC155" s="402"/>
      <c r="AD155" s="402"/>
      <c r="AE155" s="403"/>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c r="BI155" s="58"/>
    </row>
    <row r="156" spans="1:61" ht="15" customHeight="1" x14ac:dyDescent="0.25">
      <c r="A156" s="58"/>
      <c r="B156" s="356"/>
      <c r="C156" s="356"/>
      <c r="D156" s="357"/>
      <c r="E156" s="367" t="s">
        <v>108</v>
      </c>
      <c r="F156" s="368"/>
      <c r="G156" s="368"/>
      <c r="H156" s="368"/>
      <c r="I156" s="368"/>
      <c r="J156" s="127" t="str">
        <f>IF(AND('Mapa final'!$AB$7="Baja",'Mapa final'!$AD$7="Leve"),CONCATENATE("R1C",'Mapa final'!$R$7),"")</f>
        <v/>
      </c>
      <c r="K156" s="55" t="str">
        <f>IF(AND('Mapa final'!$AB$8="Baja",'Mapa final'!$AD$8="Leve"),CONCATENATE("R1C",'Mapa final'!$R$8),"")</f>
        <v/>
      </c>
      <c r="L156" s="128" t="str">
        <f>IF(AND('Mapa final'!$AB$9="Baja",'Mapa final'!$AD$9="Leve"),CONCATENATE("R1C",'Mapa final'!$R$9),"")</f>
        <v/>
      </c>
      <c r="M156" s="49" t="str">
        <f>IF(AND('Mapa final'!$AB$7="Baja",'Mapa final'!$AD$7="Menor"),CONCATENATE("R1C",'Mapa final'!$R$7),"")</f>
        <v/>
      </c>
      <c r="N156" s="50" t="str">
        <f>IF(AND('Mapa final'!$AB$8="Baja",'Mapa final'!$AD$8="Menor"),CONCATENATE("R1C",'Mapa final'!$R$8),"")</f>
        <v/>
      </c>
      <c r="O156" s="124" t="str">
        <f>IF(AND('Mapa final'!$AB$9="Baja",'Mapa final'!$AD$9="Menor"),CONCATENATE("R1C",'Mapa final'!$R$9),"")</f>
        <v/>
      </c>
      <c r="P156" s="49" t="str">
        <f>IF(AND('Mapa final'!$AB$7="Baja",'Mapa final'!$AD$7="Moderado"),CONCATENATE("R1C",'Mapa final'!$R$7),"")</f>
        <v>R1C1</v>
      </c>
      <c r="Q156" s="50" t="str">
        <f>IF(AND('Mapa final'!$AB$8="Baja",'Mapa final'!$AD$8="Moderado"),CONCATENATE("R1C",'Mapa final'!$R$8),"")</f>
        <v>R1C2</v>
      </c>
      <c r="R156" s="124" t="str">
        <f>IF(AND('Mapa final'!$AB$9="Baja",'Mapa final'!$AD$9="Moderado"),CONCATENATE("R1C",'Mapa final'!$R$9),"")</f>
        <v>R1C3</v>
      </c>
      <c r="S156" s="116" t="str">
        <f>IF(AND('Mapa final'!$AB$7="Baja",'Mapa final'!$AD$7="Mayor"),CONCATENATE("R1C",'Mapa final'!$R$7),"")</f>
        <v/>
      </c>
      <c r="T156" s="117" t="str">
        <f>IF(AND('Mapa final'!$AB$8="Baja",'Mapa final'!$AD$8="Mayor"),CONCATENATE("R1C",'Mapa final'!$R$8),"")</f>
        <v/>
      </c>
      <c r="U156" s="118" t="str">
        <f>IF(AND('Mapa final'!$AB$9="Baja",'Mapa final'!$AD$9="Mayor"),CONCATENATE("R1C",'Mapa final'!$R$9),"")</f>
        <v/>
      </c>
      <c r="V156" s="42" t="str">
        <f>IF(AND('Mapa final'!$AB$7="Baja",'Mapa final'!$AD$7="Catastrófico"),CONCATENATE("R1C",'Mapa final'!$R$7),"")</f>
        <v/>
      </c>
      <c r="W156" s="43" t="str">
        <f>IF(AND('Mapa final'!$AB$8="Baja",'Mapa final'!$AD$8="Catastrófico"),CONCATENATE("R1C",'Mapa final'!$R$8),"")</f>
        <v/>
      </c>
      <c r="X156" s="113" t="str">
        <f>IF(AND('Mapa final'!$AB$9="Baja",'Mapa final'!$AD$9="Catastrófico"),CONCATENATE("R1C",'Mapa final'!$R$9),"")</f>
        <v/>
      </c>
      <c r="Y156" s="58"/>
      <c r="Z156" s="386" t="s">
        <v>76</v>
      </c>
      <c r="AA156" s="387"/>
      <c r="AB156" s="387"/>
      <c r="AC156" s="387"/>
      <c r="AD156" s="387"/>
      <c r="AE156" s="388"/>
      <c r="AF156" s="58"/>
      <c r="AG156" s="58"/>
      <c r="AH156" s="58"/>
      <c r="AI156" s="58"/>
      <c r="AJ156" s="58"/>
      <c r="AK156" s="58"/>
      <c r="AL156" s="58"/>
      <c r="AM156" s="58"/>
      <c r="AN156" s="58"/>
      <c r="AO156" s="58"/>
      <c r="AP156" s="58"/>
      <c r="AQ156" s="58"/>
      <c r="AR156" s="58"/>
      <c r="AS156" s="58"/>
      <c r="AT156" s="58"/>
      <c r="AU156" s="58"/>
      <c r="AV156" s="58"/>
      <c r="AW156" s="58"/>
      <c r="AX156" s="58"/>
      <c r="AY156" s="58"/>
      <c r="AZ156" s="58"/>
      <c r="BA156" s="58"/>
      <c r="BB156" s="58"/>
      <c r="BC156" s="58"/>
      <c r="BD156" s="58"/>
      <c r="BE156" s="58"/>
      <c r="BF156" s="58"/>
      <c r="BG156" s="58"/>
      <c r="BH156" s="58"/>
      <c r="BI156" s="58"/>
    </row>
    <row r="157" spans="1:61" ht="15" customHeight="1" x14ac:dyDescent="0.25">
      <c r="A157" s="58"/>
      <c r="B157" s="356"/>
      <c r="C157" s="356"/>
      <c r="D157" s="357"/>
      <c r="E157" s="369"/>
      <c r="F157" s="370"/>
      <c r="G157" s="370"/>
      <c r="H157" s="370"/>
      <c r="I157" s="370"/>
      <c r="J157" s="129" t="str">
        <f>IF(AND('Mapa final'!$AB$10="Baja",'Mapa final'!$AD$10="Leve"),CONCATENATE("R2C",'Mapa final'!$R$10),"")</f>
        <v/>
      </c>
      <c r="K157" s="56" t="str">
        <f>IF(AND('Mapa final'!$AB$11="Baja",'Mapa final'!$AD$11="Leve"),CONCATENATE("R2C",'Mapa final'!$R$11),"")</f>
        <v/>
      </c>
      <c r="L157" s="130" t="str">
        <f>IF(AND('Mapa final'!$AB$12="Baja",'Mapa final'!$AD$12="Leve"),CONCATENATE("R2C",'Mapa final'!$R$12),"")</f>
        <v/>
      </c>
      <c r="M157" s="51" t="str">
        <f>IF(AND('Mapa final'!$AB$10="Baja",'Mapa final'!$AD$10="Menor"),CONCATENATE("R2C",'Mapa final'!$R$10),"")</f>
        <v/>
      </c>
      <c r="N157" s="52" t="str">
        <f>IF(AND('Mapa final'!$AB$11="Baja",'Mapa final'!$AD$11="Menor"),CONCATENATE("R2C",'Mapa final'!$R$11),"")</f>
        <v/>
      </c>
      <c r="O157" s="125" t="str">
        <f>IF(AND('Mapa final'!$AB$12="Baja",'Mapa final'!$AD$12="Menor"),CONCATENATE("R2C",'Mapa final'!$R$12),"")</f>
        <v/>
      </c>
      <c r="P157" s="51" t="str">
        <f>IF(AND('Mapa final'!$AB$10="Baja",'Mapa final'!$AD$10="Moderado"),CONCATENATE("R2C",'Mapa final'!$R$10),"")</f>
        <v>R2C1</v>
      </c>
      <c r="Q157" s="52" t="str">
        <f>IF(AND('Mapa final'!$AB$11="Baja",'Mapa final'!$AD$11="Moderado"),CONCATENATE("R2C",'Mapa final'!$R$11),"")</f>
        <v/>
      </c>
      <c r="R157" s="125" t="str">
        <f>IF(AND('Mapa final'!$AB$12="Baja",'Mapa final'!$AD$12="Moderado"),CONCATENATE("R2C",'Mapa final'!$R$12),"")</f>
        <v/>
      </c>
      <c r="S157" s="119" t="str">
        <f>IF(AND('Mapa final'!$AB$10="Baja",'Mapa final'!$AD$10="Mayor"),CONCATENATE("R2C",'Mapa final'!$R$10),"")</f>
        <v/>
      </c>
      <c r="T157" s="44" t="str">
        <f>IF(AND('Mapa final'!$AB$11="Baja",'Mapa final'!$AD$11="Mayor"),CONCATENATE("R2C",'Mapa final'!$R$11),"")</f>
        <v/>
      </c>
      <c r="U157" s="120" t="str">
        <f>IF(AND('Mapa final'!$AB$12="Baja",'Mapa final'!$AD$12="Mayor"),CONCATENATE("R2C",'Mapa final'!$R$12),"")</f>
        <v/>
      </c>
      <c r="V157" s="45" t="str">
        <f>IF(AND('Mapa final'!$AB$10="Baja",'Mapa final'!$AD$10="Catastrófico"),CONCATENATE("R2C",'Mapa final'!$R$10),"")</f>
        <v/>
      </c>
      <c r="W157" s="46" t="str">
        <f>IF(AND('Mapa final'!$AB$11="Baja",'Mapa final'!$AD$11="Catastrófico"),CONCATENATE("R2C",'Mapa final'!$R$11),"")</f>
        <v/>
      </c>
      <c r="X157" s="114" t="str">
        <f>IF(AND('Mapa final'!$AB$12="Baja",'Mapa final'!$AD$12="Catastrófico"),CONCATENATE("R2C",'Mapa final'!$R$12),"")</f>
        <v/>
      </c>
      <c r="Y157" s="58"/>
      <c r="Z157" s="389"/>
      <c r="AA157" s="390"/>
      <c r="AB157" s="390"/>
      <c r="AC157" s="390"/>
      <c r="AD157" s="390"/>
      <c r="AE157" s="391"/>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58"/>
      <c r="BD157" s="58"/>
      <c r="BE157" s="58"/>
      <c r="BF157" s="58"/>
      <c r="BG157" s="58"/>
      <c r="BH157" s="58"/>
      <c r="BI157" s="58"/>
    </row>
    <row r="158" spans="1:61" ht="15" customHeight="1" x14ac:dyDescent="0.25">
      <c r="A158" s="58"/>
      <c r="B158" s="356"/>
      <c r="C158" s="356"/>
      <c r="D158" s="357"/>
      <c r="E158" s="369"/>
      <c r="F158" s="370"/>
      <c r="G158" s="370"/>
      <c r="H158" s="370"/>
      <c r="I158" s="370"/>
      <c r="J158" s="129" t="str">
        <f>IF(AND('Mapa final'!$AB$13="Baja",'Mapa final'!$AD$13="Leve"),CONCATENATE("R3C",'Mapa final'!$R$13),"")</f>
        <v/>
      </c>
      <c r="K158" s="56" t="str">
        <f>IF(AND('Mapa final'!$AB$14="Baja",'Mapa final'!$AD$14="Leve"),CONCATENATE("R3C",'Mapa final'!$R$14),"")</f>
        <v/>
      </c>
      <c r="L158" s="130" t="str">
        <f>IF(AND('Mapa final'!$AB$15="Baja",'Mapa final'!$AD$15="Leve"),CONCATENATE("R3C",'Mapa final'!$R$15),"")</f>
        <v/>
      </c>
      <c r="M158" s="51" t="str">
        <f>IF(AND('Mapa final'!$AB$13="Baja",'Mapa final'!$AD$13="Menor"),CONCATENATE("R3C",'Mapa final'!$R$13),"")</f>
        <v/>
      </c>
      <c r="N158" s="52" t="str">
        <f>IF(AND('Mapa final'!$AB$14="Baja",'Mapa final'!$AD$14="Menor"),CONCATENATE("R3C",'Mapa final'!$R$14),"")</f>
        <v/>
      </c>
      <c r="O158" s="125" t="str">
        <f>IF(AND('Mapa final'!$AB$15="Baja",'Mapa final'!$AD$15="Menor"),CONCATENATE("R3C",'Mapa final'!$R$15),"")</f>
        <v/>
      </c>
      <c r="P158" s="51" t="str">
        <f>IF(AND('Mapa final'!$AB$13="Baja",'Mapa final'!$AD$13="Moderado"),CONCATENATE("R3C",'Mapa final'!$R$13),"")</f>
        <v/>
      </c>
      <c r="Q158" s="52" t="str">
        <f>IF(AND('Mapa final'!$AB$14="Baja",'Mapa final'!$AD$14="Moderado"),CONCATENATE("R3C",'Mapa final'!$R$14),"")</f>
        <v/>
      </c>
      <c r="R158" s="125" t="str">
        <f>IF(AND('Mapa final'!$AB$15="Baja",'Mapa final'!$AD$15="Moderado"),CONCATENATE("R3C",'Mapa final'!$R$15),"")</f>
        <v/>
      </c>
      <c r="S158" s="119" t="str">
        <f>IF(AND('Mapa final'!$AB$13="Baja",'Mapa final'!$AD$13="Mayor"),CONCATENATE("R3C",'Mapa final'!$R$13),"")</f>
        <v/>
      </c>
      <c r="T158" s="44" t="str">
        <f>IF(AND('Mapa final'!$AB$14="Baja",'Mapa final'!$AD$14="Mayor"),CONCATENATE("R3C",'Mapa final'!$R$14),"")</f>
        <v/>
      </c>
      <c r="U158" s="120" t="str">
        <f>IF(AND('Mapa final'!$AB$15="Baja",'Mapa final'!$AD$15="Mayor"),CONCATENATE("R3C",'Mapa final'!$R$15),"")</f>
        <v/>
      </c>
      <c r="V158" s="45" t="str">
        <f>IF(AND('Mapa final'!$AB$13="Baja",'Mapa final'!$AD$13="Catastrófico"),CONCATENATE("R3C",'Mapa final'!$R$13),"")</f>
        <v/>
      </c>
      <c r="W158" s="46" t="str">
        <f>IF(AND('Mapa final'!$AB$14="Baja",'Mapa final'!$AD$14="Catastrófico"),CONCATENATE("R3C",'Mapa final'!$R$14),"")</f>
        <v/>
      </c>
      <c r="X158" s="114" t="str">
        <f>IF(AND('Mapa final'!$AB$15="Baja",'Mapa final'!$AD$15="Catastrófico"),CONCATENATE("R3C",'Mapa final'!$R$15),"")</f>
        <v/>
      </c>
      <c r="Y158" s="58"/>
      <c r="Z158" s="389"/>
      <c r="AA158" s="390"/>
      <c r="AB158" s="390"/>
      <c r="AC158" s="390"/>
      <c r="AD158" s="390"/>
      <c r="AE158" s="391"/>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c r="BI158" s="58"/>
    </row>
    <row r="159" spans="1:61" ht="15" customHeight="1" x14ac:dyDescent="0.25">
      <c r="A159" s="58"/>
      <c r="B159" s="356"/>
      <c r="C159" s="356"/>
      <c r="D159" s="357"/>
      <c r="E159" s="369"/>
      <c r="F159" s="370"/>
      <c r="G159" s="370"/>
      <c r="H159" s="370"/>
      <c r="I159" s="370"/>
      <c r="J159" s="129" t="str">
        <f>IF(AND('Mapa final'!$AB$16="Baja",'Mapa final'!$AD$16="Leve"),CONCATENATE("R4C",'Mapa final'!$R$16),"")</f>
        <v/>
      </c>
      <c r="K159" s="56" t="str">
        <f>IF(AND('Mapa final'!$AB$17="Baja",'Mapa final'!$AD$17="Leve"),CONCATENATE("R4C",'Mapa final'!$R$17),"")</f>
        <v>R4C2</v>
      </c>
      <c r="L159" s="130" t="str">
        <f>IF(AND('Mapa final'!$AB$18="Baja",'Mapa final'!$AD$18="Leve"),CONCATENATE("R4C",'Mapa final'!$R$18),"")</f>
        <v/>
      </c>
      <c r="M159" s="51" t="str">
        <f>IF(AND('Mapa final'!$AB$16="Baja",'Mapa final'!$AD$16="Menor"),CONCATENATE("R4C",'Mapa final'!$R$16),"")</f>
        <v/>
      </c>
      <c r="N159" s="52" t="str">
        <f>IF(AND('Mapa final'!$AB$17="Baja",'Mapa final'!$AD$17="Menor"),CONCATENATE("R4C",'Mapa final'!$R$17),"")</f>
        <v/>
      </c>
      <c r="O159" s="125" t="str">
        <f>IF(AND('Mapa final'!$AB$18="Baja",'Mapa final'!$AD$18="Menor"),CONCATENATE("R4C",'Mapa final'!$R$18),"")</f>
        <v/>
      </c>
      <c r="P159" s="51" t="str">
        <f>IF(AND('Mapa final'!$AB$16="Baja",'Mapa final'!$AD$16="Moderado"),CONCATENATE("R4C",'Mapa final'!$R$16),"")</f>
        <v/>
      </c>
      <c r="Q159" s="52" t="str">
        <f>IF(AND('Mapa final'!$AB$17="Baja",'Mapa final'!$AD$17="Moderado"),CONCATENATE("R4C",'Mapa final'!$R$17),"")</f>
        <v/>
      </c>
      <c r="R159" s="125" t="str">
        <f>IF(AND('Mapa final'!$AB$18="Baja",'Mapa final'!$AD$18="Moderado"),CONCATENATE("R4C",'Mapa final'!$R$18),"")</f>
        <v/>
      </c>
      <c r="S159" s="119" t="str">
        <f>IF(AND('Mapa final'!$AB$16="Baja",'Mapa final'!$AD$16="Mayor"),CONCATENATE("R4C",'Mapa final'!$R$16),"")</f>
        <v/>
      </c>
      <c r="T159" s="44" t="str">
        <f>IF(AND('Mapa final'!$AB$17="Baja",'Mapa final'!$AD$17="Mayor"),CONCATENATE("R4C",'Mapa final'!$R$17),"")</f>
        <v/>
      </c>
      <c r="U159" s="120" t="str">
        <f>IF(AND('Mapa final'!$AB$18="Baja",'Mapa final'!$AD$18="Mayor"),CONCATENATE("R4C",'Mapa final'!$R$18),"")</f>
        <v/>
      </c>
      <c r="V159" s="45" t="str">
        <f>IF(AND('Mapa final'!$AB$16="Baja",'Mapa final'!$AD$16="Catastrófico"),CONCATENATE("R4C",'Mapa final'!$R$16),"")</f>
        <v/>
      </c>
      <c r="W159" s="46" t="str">
        <f>IF(AND('Mapa final'!$AB$17="Baja",'Mapa final'!$AD$17="Catastrófico"),CONCATENATE("R4C",'Mapa final'!$R$17),"")</f>
        <v/>
      </c>
      <c r="X159" s="114" t="str">
        <f>IF(AND('Mapa final'!$AB$18="Baja",'Mapa final'!$AD$18="Catastrófico"),CONCATENATE("R4C",'Mapa final'!$R$18),"")</f>
        <v/>
      </c>
      <c r="Y159" s="58"/>
      <c r="Z159" s="389"/>
      <c r="AA159" s="390"/>
      <c r="AB159" s="390"/>
      <c r="AC159" s="390"/>
      <c r="AD159" s="390"/>
      <c r="AE159" s="391"/>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row>
    <row r="160" spans="1:61" ht="15" customHeight="1" x14ac:dyDescent="0.25">
      <c r="A160" s="58"/>
      <c r="B160" s="356"/>
      <c r="C160" s="356"/>
      <c r="D160" s="357"/>
      <c r="E160" s="369"/>
      <c r="F160" s="370"/>
      <c r="G160" s="370"/>
      <c r="H160" s="370"/>
      <c r="I160" s="370"/>
      <c r="J160" s="129" t="str">
        <f>IF(AND('Mapa final'!$AB$19="Baja",'Mapa final'!$AD$19="Leve"),CONCATENATE("R5C",'Mapa final'!$R$19),"")</f>
        <v/>
      </c>
      <c r="K160" s="56" t="str">
        <f>IF(AND('Mapa final'!$AB$20="Baja",'Mapa final'!$AD$20="Leve"),CONCATENATE("R5C",'Mapa final'!$R$20),"")</f>
        <v/>
      </c>
      <c r="L160" s="130" t="str">
        <f>IF(AND('Mapa final'!$AB$21="Baja",'Mapa final'!$AD$21="Leve"),CONCATENATE("R5C",'Mapa final'!$R$21),"")</f>
        <v/>
      </c>
      <c r="M160" s="51" t="str">
        <f>IF(AND('Mapa final'!$AB$19="Baja",'Mapa final'!$AD$19="Menor"),CONCATENATE("R5C",'Mapa final'!$R$19),"")</f>
        <v/>
      </c>
      <c r="N160" s="52" t="str">
        <f>IF(AND('Mapa final'!$AB$20="Baja",'Mapa final'!$AD$20="Menor"),CONCATENATE("R5C",'Mapa final'!$R$20),"")</f>
        <v/>
      </c>
      <c r="O160" s="125" t="str">
        <f>IF(AND('Mapa final'!$AB$21="Baja",'Mapa final'!$AD$21="Menor"),CONCATENATE("R5C",'Mapa final'!$R$21),"")</f>
        <v/>
      </c>
      <c r="P160" s="51" t="str">
        <f>IF(AND('Mapa final'!$AB$19="Baja",'Mapa final'!$AD$19="Moderado"),CONCATENATE("R5C",'Mapa final'!$R$19),"")</f>
        <v/>
      </c>
      <c r="Q160" s="52" t="str">
        <f>IF(AND('Mapa final'!$AB$20="Baja",'Mapa final'!$AD$20="Moderado"),CONCATENATE("R5C",'Mapa final'!$R$20),"")</f>
        <v/>
      </c>
      <c r="R160" s="125" t="str">
        <f>IF(AND('Mapa final'!$AB$21="Baja",'Mapa final'!$AD$21="Moderado"),CONCATENATE("R5C",'Mapa final'!$R$21),"")</f>
        <v/>
      </c>
      <c r="S160" s="119" t="str">
        <f>IF(AND('Mapa final'!$AB$19="Baja",'Mapa final'!$AD$19="Mayor"),CONCATENATE("R5C",'Mapa final'!$R$19),"")</f>
        <v/>
      </c>
      <c r="T160" s="44" t="str">
        <f>IF(AND('Mapa final'!$AB$20="Baja",'Mapa final'!$AD$20="Mayor"),CONCATENATE("R5C",'Mapa final'!$R$20),"")</f>
        <v/>
      </c>
      <c r="U160" s="120" t="str">
        <f>IF(AND('Mapa final'!$AB$21="Baja",'Mapa final'!$AD$21="Mayor"),CONCATENATE("R5C",'Mapa final'!$R$21),"")</f>
        <v/>
      </c>
      <c r="V160" s="45" t="str">
        <f>IF(AND('Mapa final'!$AB$19="Baja",'Mapa final'!$AD$19="Catastrófico"),CONCATENATE("R5C",'Mapa final'!$R$19),"")</f>
        <v/>
      </c>
      <c r="W160" s="46" t="str">
        <f>IF(AND('Mapa final'!$AB$20="Baja",'Mapa final'!$AD$20="Catastrófico"),CONCATENATE("R5C",'Mapa final'!$R$20),"")</f>
        <v/>
      </c>
      <c r="X160" s="114" t="str">
        <f>IF(AND('Mapa final'!$AB$21="Baja",'Mapa final'!$AD$21="Catastrófico"),CONCATENATE("R5C",'Mapa final'!$R$21),"")</f>
        <v/>
      </c>
      <c r="Y160" s="58"/>
      <c r="Z160" s="389"/>
      <c r="AA160" s="390"/>
      <c r="AB160" s="390"/>
      <c r="AC160" s="390"/>
      <c r="AD160" s="390"/>
      <c r="AE160" s="391"/>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c r="BC160" s="58"/>
      <c r="BD160" s="58"/>
      <c r="BE160" s="58"/>
      <c r="BF160" s="58"/>
      <c r="BG160" s="58"/>
      <c r="BH160" s="58"/>
      <c r="BI160" s="58"/>
    </row>
    <row r="161" spans="1:61" ht="15" customHeight="1" x14ac:dyDescent="0.25">
      <c r="A161" s="58"/>
      <c r="B161" s="356"/>
      <c r="C161" s="356"/>
      <c r="D161" s="357"/>
      <c r="E161" s="369"/>
      <c r="F161" s="370"/>
      <c r="G161" s="370"/>
      <c r="H161" s="370"/>
      <c r="I161" s="370"/>
      <c r="J161" s="129" t="str">
        <f>IF(AND('Mapa final'!$AB$22="Baja",'Mapa final'!$AD$22="Leve"),CONCATENATE("R6C",'Mapa final'!$R$22),"")</f>
        <v/>
      </c>
      <c r="K161" s="56" t="str">
        <f>IF(AND('Mapa final'!$AB$23="Baja",'Mapa final'!$AD$23="Leve"),CONCATENATE("R6C",'Mapa final'!$R$23),"")</f>
        <v/>
      </c>
      <c r="L161" s="130" t="str">
        <f>IF(AND('Mapa final'!$AB$24="Baja",'Mapa final'!$AD$24="Leve"),CONCATENATE("R6C",'Mapa final'!$R$24),"")</f>
        <v/>
      </c>
      <c r="M161" s="51" t="str">
        <f>IF(AND('Mapa final'!$AB$22="Baja",'Mapa final'!$AD$22="Menor"),CONCATENATE("R6C",'Mapa final'!$R$22),"")</f>
        <v/>
      </c>
      <c r="N161" s="52" t="str">
        <f>IF(AND('Mapa final'!$AB$23="Baja",'Mapa final'!$AD$23="Menor"),CONCATENATE("R6C",'Mapa final'!$R$23),"")</f>
        <v/>
      </c>
      <c r="O161" s="125" t="str">
        <f>IF(AND('Mapa final'!$AB$24="Baja",'Mapa final'!$AD$24="Menor"),CONCATENATE("R6C",'Mapa final'!$R$24),"")</f>
        <v/>
      </c>
      <c r="P161" s="51" t="str">
        <f>IF(AND('Mapa final'!$AB$22="Baja",'Mapa final'!$AD$22="Moderado"),CONCATENATE("R6C",'Mapa final'!$R$22),"")</f>
        <v/>
      </c>
      <c r="Q161" s="52" t="str">
        <f>IF(AND('Mapa final'!$AB$23="Baja",'Mapa final'!$AD$23="Moderado"),CONCATENATE("R6C",'Mapa final'!$R$23),"")</f>
        <v/>
      </c>
      <c r="R161" s="125" t="str">
        <f>IF(AND('Mapa final'!$AB$24="Baja",'Mapa final'!$AD$24="Moderado"),CONCATENATE("R6C",'Mapa final'!$R$24),"")</f>
        <v/>
      </c>
      <c r="S161" s="119" t="str">
        <f>IF(AND('Mapa final'!$AB$22="Baja",'Mapa final'!$AD$22="Mayor"),CONCATENATE("R6C",'Mapa final'!$R$22),"")</f>
        <v/>
      </c>
      <c r="T161" s="44" t="str">
        <f>IF(AND('Mapa final'!$AB$23="Baja",'Mapa final'!$AD$23="Mayor"),CONCATENATE("R6C",'Mapa final'!$R$23),"")</f>
        <v/>
      </c>
      <c r="U161" s="120" t="str">
        <f>IF(AND('Mapa final'!$AB$24="Baja",'Mapa final'!$AD$24="Mayor"),CONCATENATE("R6C",'Mapa final'!$R$24),"")</f>
        <v/>
      </c>
      <c r="V161" s="45" t="str">
        <f>IF(AND('Mapa final'!$AB$22="Baja",'Mapa final'!$AD$22="Catastrófico"),CONCATENATE("R6C",'Mapa final'!$R$22),"")</f>
        <v/>
      </c>
      <c r="W161" s="46" t="str">
        <f>IF(AND('Mapa final'!$AB$23="Baja",'Mapa final'!$AD$23="Catastrófico"),CONCATENATE("R6C",'Mapa final'!$R$23),"")</f>
        <v/>
      </c>
      <c r="X161" s="114" t="str">
        <f>IF(AND('Mapa final'!$AB$24="Baja",'Mapa final'!$AD$24="Catastrófico"),CONCATENATE("R6C",'Mapa final'!$R$24),"")</f>
        <v/>
      </c>
      <c r="Y161" s="58"/>
      <c r="Z161" s="389"/>
      <c r="AA161" s="390"/>
      <c r="AB161" s="390"/>
      <c r="AC161" s="390"/>
      <c r="AD161" s="390"/>
      <c r="AE161" s="391"/>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c r="BI161" s="58"/>
    </row>
    <row r="162" spans="1:61" ht="15" customHeight="1" x14ac:dyDescent="0.25">
      <c r="A162" s="58"/>
      <c r="B162" s="356"/>
      <c r="C162" s="356"/>
      <c r="D162" s="357"/>
      <c r="E162" s="369"/>
      <c r="F162" s="370"/>
      <c r="G162" s="370"/>
      <c r="H162" s="370"/>
      <c r="I162" s="370"/>
      <c r="J162" s="129" t="str">
        <f>IF(AND('Mapa final'!$AB$25="Baja",'Mapa final'!$AD$25="Leve"),CONCATENATE("R7C",'Mapa final'!$R$25),"")</f>
        <v/>
      </c>
      <c r="K162" s="56" t="str">
        <f>IF(AND('Mapa final'!$AB$26="Baja",'Mapa final'!$AD$26="Leve"),CONCATENATE("R7C",'Mapa final'!$R$26),"")</f>
        <v/>
      </c>
      <c r="L162" s="130" t="str">
        <f>IF(AND('Mapa final'!$AB$27="Baja",'Mapa final'!$AD$27="Leve"),CONCATENATE("R7C",'Mapa final'!$R$27),"")</f>
        <v/>
      </c>
      <c r="M162" s="51" t="str">
        <f>IF(AND('Mapa final'!$AB$25="Baja",'Mapa final'!$AD$25="Menor"),CONCATENATE("R7C",'Mapa final'!$R$25),"")</f>
        <v/>
      </c>
      <c r="N162" s="52" t="str">
        <f>IF(AND('Mapa final'!$AB$26="Baja",'Mapa final'!$AD$26="Menor"),CONCATENATE("R7C",'Mapa final'!$R$26),"")</f>
        <v/>
      </c>
      <c r="O162" s="125" t="str">
        <f>IF(AND('Mapa final'!$AB$27="Baja",'Mapa final'!$AD$27="Menor"),CONCATENATE("R7C",'Mapa final'!$R$27),"")</f>
        <v/>
      </c>
      <c r="P162" s="51" t="str">
        <f>IF(AND('Mapa final'!$AB$25="Baja",'Mapa final'!$AD$25="Moderado"),CONCATENATE("R7C",'Mapa final'!$R$25),"")</f>
        <v/>
      </c>
      <c r="Q162" s="52" t="str">
        <f>IF(AND('Mapa final'!$AB$26="Baja",'Mapa final'!$AD$26="Moderado"),CONCATENATE("R7C",'Mapa final'!$R$26),"")</f>
        <v/>
      </c>
      <c r="R162" s="125" t="str">
        <f>IF(AND('Mapa final'!$AB$27="Baja",'Mapa final'!$AD$27="Moderado"),CONCATENATE("R7C",'Mapa final'!$R$27),"")</f>
        <v/>
      </c>
      <c r="S162" s="119" t="str">
        <f>IF(AND('Mapa final'!$AB$25="Baja",'Mapa final'!$AD$25="Mayor"),CONCATENATE("R7C",'Mapa final'!$R$25),"")</f>
        <v/>
      </c>
      <c r="T162" s="44" t="str">
        <f>IF(AND('Mapa final'!$AB$26="Baja",'Mapa final'!$AD$26="Mayor"),CONCATENATE("R7C",'Mapa final'!$R$26),"")</f>
        <v/>
      </c>
      <c r="U162" s="120" t="str">
        <f>IF(AND('Mapa final'!$AB$27="Baja",'Mapa final'!$AD$27="Mayor"),CONCATENATE("R7C",'Mapa final'!$R$27),"")</f>
        <v/>
      </c>
      <c r="V162" s="45" t="str">
        <f>IF(AND('Mapa final'!$AB$25="Baja",'Mapa final'!$AD$25="Catastrófico"),CONCATENATE("R7C",'Mapa final'!$R$25),"")</f>
        <v/>
      </c>
      <c r="W162" s="46" t="str">
        <f>IF(AND('Mapa final'!$AB$26="Baja",'Mapa final'!$AD$26="Catastrófico"),CONCATENATE("R7C",'Mapa final'!$R$26),"")</f>
        <v/>
      </c>
      <c r="X162" s="114" t="str">
        <f>IF(AND('Mapa final'!$AB$27="Baja",'Mapa final'!$AD$27="Catastrófico"),CONCATENATE("R7C",'Mapa final'!$R$27),"")</f>
        <v/>
      </c>
      <c r="Y162" s="58"/>
      <c r="Z162" s="389"/>
      <c r="AA162" s="390"/>
      <c r="AB162" s="390"/>
      <c r="AC162" s="390"/>
      <c r="AD162" s="390"/>
      <c r="AE162" s="391"/>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c r="BI162" s="58"/>
    </row>
    <row r="163" spans="1:61" ht="15" customHeight="1" x14ac:dyDescent="0.25">
      <c r="A163" s="58"/>
      <c r="B163" s="356"/>
      <c r="C163" s="356"/>
      <c r="D163" s="357"/>
      <c r="E163" s="369"/>
      <c r="F163" s="370"/>
      <c r="G163" s="370"/>
      <c r="H163" s="370"/>
      <c r="I163" s="370"/>
      <c r="J163" s="129" t="str">
        <f>IF(AND('Mapa final'!$AB$28="Baja",'Mapa final'!$AD$28="Leve"),CONCATENATE("R8C",'Mapa final'!$R$28),"")</f>
        <v/>
      </c>
      <c r="K163" s="56" t="str">
        <f>IF(AND('Mapa final'!$AB$29="Baja",'Mapa final'!$AD$29="Leve"),CONCATENATE("R8C",'Mapa final'!$R$29),"")</f>
        <v/>
      </c>
      <c r="L163" s="130" t="str">
        <f>IF(AND('Mapa final'!$AB$30="Baja",'Mapa final'!$AD$30="Leve"),CONCATENATE("R8C",'Mapa final'!$R$30),"")</f>
        <v/>
      </c>
      <c r="M163" s="51" t="str">
        <f>IF(AND('Mapa final'!$AB$28="Baja",'Mapa final'!$AD$28="Menor"),CONCATENATE("R8C",'Mapa final'!$R$28),"")</f>
        <v/>
      </c>
      <c r="N163" s="52" t="str">
        <f>IF(AND('Mapa final'!$AB$29="Baja",'Mapa final'!$AD$29="Menor"),CONCATENATE("R8C",'Mapa final'!$R$29),"")</f>
        <v/>
      </c>
      <c r="O163" s="125" t="str">
        <f>IF(AND('Mapa final'!$AB$30="Baja",'Mapa final'!$AD$30="Menor"),CONCATENATE("R8C",'Mapa final'!$R$30),"")</f>
        <v/>
      </c>
      <c r="P163" s="51" t="str">
        <f>IF(AND('Mapa final'!$AB$28="Baja",'Mapa final'!$AD$28="Moderado"),CONCATENATE("R8C",'Mapa final'!$R$28),"")</f>
        <v/>
      </c>
      <c r="Q163" s="52" t="str">
        <f>IF(AND('Mapa final'!$AB$29="Baja",'Mapa final'!$AD$29="Moderado"),CONCATENATE("R8C",'Mapa final'!$R$29),"")</f>
        <v/>
      </c>
      <c r="R163" s="125" t="str">
        <f>IF(AND('Mapa final'!$AB$30="Baja",'Mapa final'!$AD$30="Moderado"),CONCATENATE("R8C",'Mapa final'!$R$30),"")</f>
        <v/>
      </c>
      <c r="S163" s="119" t="str">
        <f>IF(AND('Mapa final'!$AB$28="Baja",'Mapa final'!$AD$28="Mayor"),CONCATENATE("R8C",'Mapa final'!$R$28),"")</f>
        <v/>
      </c>
      <c r="T163" s="44" t="str">
        <f>IF(AND('Mapa final'!$AB$29="Baja",'Mapa final'!$AD$29="Mayor"),CONCATENATE("R8C",'Mapa final'!$R$29),"")</f>
        <v/>
      </c>
      <c r="U163" s="120" t="str">
        <f>IF(AND('Mapa final'!$AB$30="Baja",'Mapa final'!$AD$30="Mayor"),CONCATENATE("R8C",'Mapa final'!$R$30),"")</f>
        <v/>
      </c>
      <c r="V163" s="45" t="str">
        <f>IF(AND('Mapa final'!$AB$28="Baja",'Mapa final'!$AD$28="Catastrófico"),CONCATENATE("R8C",'Mapa final'!$R$28),"")</f>
        <v/>
      </c>
      <c r="W163" s="46" t="str">
        <f>IF(AND('Mapa final'!$AB$29="Baja",'Mapa final'!$AD$29="Catastrófico"),CONCATENATE("R8C",'Mapa final'!$R$29),"")</f>
        <v/>
      </c>
      <c r="X163" s="114" t="str">
        <f>IF(AND('Mapa final'!$AB$30="Baja",'Mapa final'!$AD$30="Catastrófico"),CONCATENATE("R8C",'Mapa final'!$R$30),"")</f>
        <v/>
      </c>
      <c r="Y163" s="58"/>
      <c r="Z163" s="389"/>
      <c r="AA163" s="390"/>
      <c r="AB163" s="390"/>
      <c r="AC163" s="390"/>
      <c r="AD163" s="390"/>
      <c r="AE163" s="391"/>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c r="BD163" s="58"/>
      <c r="BE163" s="58"/>
      <c r="BF163" s="58"/>
      <c r="BG163" s="58"/>
      <c r="BH163" s="58"/>
      <c r="BI163" s="58"/>
    </row>
    <row r="164" spans="1:61" ht="15" customHeight="1" x14ac:dyDescent="0.25">
      <c r="A164" s="58"/>
      <c r="B164" s="356"/>
      <c r="C164" s="356"/>
      <c r="D164" s="357"/>
      <c r="E164" s="369"/>
      <c r="F164" s="370"/>
      <c r="G164" s="370"/>
      <c r="H164" s="370"/>
      <c r="I164" s="370"/>
      <c r="J164" s="129" t="str">
        <f>IF(AND('Mapa final'!$AB$31="Baja",'Mapa final'!$AD$31="Leve"),CONCATENATE("R9C",'Mapa final'!$R$31),"")</f>
        <v/>
      </c>
      <c r="K164" s="56" t="str">
        <f>IF(AND('Mapa final'!$AB$32="Baja",'Mapa final'!$AD$32="Leve"),CONCATENATE("R9C",'Mapa final'!$R$32),"")</f>
        <v/>
      </c>
      <c r="L164" s="130" t="str">
        <f>IF(AND('Mapa final'!$AB$33="Baja",'Mapa final'!$AD$33="Leve"),CONCATENATE("R9C",'Mapa final'!$R$33),"")</f>
        <v/>
      </c>
      <c r="M164" s="51" t="str">
        <f>IF(AND('Mapa final'!$AB$31="Baja",'Mapa final'!$AD$31="Menor"),CONCATENATE("R9C",'Mapa final'!$R$31),"")</f>
        <v/>
      </c>
      <c r="N164" s="52" t="str">
        <f>IF(AND('Mapa final'!$AB$32="Baja",'Mapa final'!$AD$32="Menor"),CONCATENATE("R9C",'Mapa final'!$R$32),"")</f>
        <v/>
      </c>
      <c r="O164" s="125" t="str">
        <f>IF(AND('Mapa final'!$AB$33="Baja",'Mapa final'!$AD$33="Menor"),CONCATENATE("R9C",'Mapa final'!$R$33),"")</f>
        <v/>
      </c>
      <c r="P164" s="51" t="str">
        <f>IF(AND('Mapa final'!$AB$31="Baja",'Mapa final'!$AD$31="Moderado"),CONCATENATE("R9C",'Mapa final'!$R$31),"")</f>
        <v/>
      </c>
      <c r="Q164" s="52" t="str">
        <f>IF(AND('Mapa final'!$AB$32="Baja",'Mapa final'!$AD$32="Moderado"),CONCATENATE("R9C",'Mapa final'!$R$32),"")</f>
        <v/>
      </c>
      <c r="R164" s="125" t="str">
        <f>IF(AND('Mapa final'!$AB$33="Baja",'Mapa final'!$AD$33="Moderado"),CONCATENATE("R9C",'Mapa final'!$R$33),"")</f>
        <v/>
      </c>
      <c r="S164" s="119" t="str">
        <f>IF(AND('Mapa final'!$AB$31="Baja",'Mapa final'!$AD$31="Mayor"),CONCATENATE("R9C",'Mapa final'!$R$31),"")</f>
        <v/>
      </c>
      <c r="T164" s="44" t="str">
        <f>IF(AND('Mapa final'!$AB$32="Baja",'Mapa final'!$AD$32="Mayor"),CONCATENATE("R9C",'Mapa final'!$R$32),"")</f>
        <v/>
      </c>
      <c r="U164" s="120" t="str">
        <f>IF(AND('Mapa final'!$AB$33="Baja",'Mapa final'!$AD$33="Mayor"),CONCATENATE("R9C",'Mapa final'!$R$33),"")</f>
        <v/>
      </c>
      <c r="V164" s="45" t="str">
        <f>IF(AND('Mapa final'!$AB$31="Baja",'Mapa final'!$AD$31="Catastrófico"),CONCATENATE("R9C",'Mapa final'!$R$31),"")</f>
        <v/>
      </c>
      <c r="W164" s="46" t="str">
        <f>IF(AND('Mapa final'!$AB$32="Baja",'Mapa final'!$AD$32="Catastrófico"),CONCATENATE("R9C",'Mapa final'!$R$32),"")</f>
        <v/>
      </c>
      <c r="X164" s="114" t="str">
        <f>IF(AND('Mapa final'!$AB$33="Baja",'Mapa final'!$AD$33="Catastrófico"),CONCATENATE("R9C",'Mapa final'!$R$33),"")</f>
        <v/>
      </c>
      <c r="Y164" s="58"/>
      <c r="Z164" s="389"/>
      <c r="AA164" s="390"/>
      <c r="AB164" s="390"/>
      <c r="AC164" s="390"/>
      <c r="AD164" s="390"/>
      <c r="AE164" s="391"/>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c r="BI164" s="58"/>
    </row>
    <row r="165" spans="1:61" ht="15" customHeight="1" x14ac:dyDescent="0.25">
      <c r="A165" s="58"/>
      <c r="B165" s="356"/>
      <c r="C165" s="356"/>
      <c r="D165" s="357"/>
      <c r="E165" s="369"/>
      <c r="F165" s="370"/>
      <c r="G165" s="370"/>
      <c r="H165" s="370"/>
      <c r="I165" s="370"/>
      <c r="J165" s="129" t="str">
        <f>IF(AND('Mapa final'!$AB$34="Baja",'Mapa final'!$AD$34="Leve"),CONCATENATE("R10C",'Mapa final'!$R$34),"")</f>
        <v/>
      </c>
      <c r="K165" s="56" t="str">
        <f>IF(AND('Mapa final'!$AB$35="Baja",'Mapa final'!$AD$35="Leve"),CONCATENATE("R10C",'Mapa final'!$R$35),"")</f>
        <v/>
      </c>
      <c r="L165" s="130" t="str">
        <f>IF(AND('Mapa final'!$AB$36="Baja",'Mapa final'!$AD$36="Leve"),CONCATENATE("R10C",'Mapa final'!$R$36),"")</f>
        <v/>
      </c>
      <c r="M165" s="51" t="str">
        <f>IF(AND('Mapa final'!$AB$34="Baja",'Mapa final'!$AD$34="Menor"),CONCATENATE("R10C",'Mapa final'!$R$34),"")</f>
        <v/>
      </c>
      <c r="N165" s="52" t="str">
        <f>IF(AND('Mapa final'!$AB$35="Baja",'Mapa final'!$AD$35="Menor"),CONCATENATE("R10C",'Mapa final'!$R$35),"")</f>
        <v/>
      </c>
      <c r="O165" s="125" t="str">
        <f>IF(AND('Mapa final'!$AB$36="Baja",'Mapa final'!$AD$36="Menor"),CONCATENATE("R10C",'Mapa final'!$R$36),"")</f>
        <v/>
      </c>
      <c r="P165" s="51" t="str">
        <f>IF(AND('Mapa final'!$AB$34="Baja",'Mapa final'!$AD$34="Moderado"),CONCATENATE("R10C",'Mapa final'!$R$34),"")</f>
        <v/>
      </c>
      <c r="Q165" s="52" t="str">
        <f>IF(AND('Mapa final'!$AB$35="Baja",'Mapa final'!$AD$35="Moderado"),CONCATENATE("R10C",'Mapa final'!$R$35),"")</f>
        <v/>
      </c>
      <c r="R165" s="125" t="str">
        <f>IF(AND('Mapa final'!$AB$36="Baja",'Mapa final'!$AD$36="Moderado"),CONCATENATE("R10C",'Mapa final'!$R$36),"")</f>
        <v/>
      </c>
      <c r="S165" s="119" t="str">
        <f>IF(AND('Mapa final'!$AB$34="Baja",'Mapa final'!$AD$34="Mayor"),CONCATENATE("R10C",'Mapa final'!$R$34),"")</f>
        <v/>
      </c>
      <c r="T165" s="44" t="str">
        <f>IF(AND('Mapa final'!$AB$35="Baja",'Mapa final'!$AD$35="Mayor"),CONCATENATE("R10C",'Mapa final'!$R$35),"")</f>
        <v/>
      </c>
      <c r="U165" s="120" t="str">
        <f>IF(AND('Mapa final'!$AB$36="Baja",'Mapa final'!$AD$36="Mayor"),CONCATENATE("R10C",'Mapa final'!$R$36),"")</f>
        <v/>
      </c>
      <c r="V165" s="45" t="str">
        <f>IF(AND('Mapa final'!$AB$34="Baja",'Mapa final'!$AD$34="Catastrófico"),CONCATENATE("R10C",'Mapa final'!$R$34),"")</f>
        <v/>
      </c>
      <c r="W165" s="46" t="str">
        <f>IF(AND('Mapa final'!$AB$35="Baja",'Mapa final'!$AD$35="Catastrófico"),CONCATENATE("R10C",'Mapa final'!$R$35),"")</f>
        <v/>
      </c>
      <c r="X165" s="114" t="str">
        <f>IF(AND('Mapa final'!$AB$36="Baja",'Mapa final'!$AD$36="Catastrófico"),CONCATENATE("R10C",'Mapa final'!$R$36),"")</f>
        <v/>
      </c>
      <c r="Y165" s="58"/>
      <c r="Z165" s="389"/>
      <c r="AA165" s="390"/>
      <c r="AB165" s="390"/>
      <c r="AC165" s="390"/>
      <c r="AD165" s="390"/>
      <c r="AE165" s="391"/>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c r="BD165" s="58"/>
      <c r="BE165" s="58"/>
      <c r="BF165" s="58"/>
      <c r="BG165" s="58"/>
      <c r="BH165" s="58"/>
      <c r="BI165" s="58"/>
    </row>
    <row r="166" spans="1:61" ht="15" customHeight="1" x14ac:dyDescent="0.25">
      <c r="A166" s="58"/>
      <c r="B166" s="356"/>
      <c r="C166" s="356"/>
      <c r="D166" s="357"/>
      <c r="E166" s="369"/>
      <c r="F166" s="370"/>
      <c r="G166" s="370"/>
      <c r="H166" s="370"/>
      <c r="I166" s="370"/>
      <c r="J166" s="129" t="str">
        <f>IF(AND('Mapa final'!$AB$37="Baja",'Mapa final'!$AD$37="Leve"),CONCATENATE("R11C",'Mapa final'!$R$37),"")</f>
        <v/>
      </c>
      <c r="K166" s="56" t="str">
        <f>IF(AND('Mapa final'!$AB$38="Baja",'Mapa final'!$AD$38="Leve"),CONCATENATE("R11C",'Mapa final'!$R$38),"")</f>
        <v/>
      </c>
      <c r="L166" s="130" t="str">
        <f>IF(AND('Mapa final'!$AB$39="Baja",'Mapa final'!$AD$39="Leve"),CONCATENATE("R11C",'Mapa final'!$R$39),"")</f>
        <v/>
      </c>
      <c r="M166" s="51" t="str">
        <f>IF(AND('Mapa final'!$AB$37="Baja",'Mapa final'!$AD$37="Menor"),CONCATENATE("R11C",'Mapa final'!$R$37),"")</f>
        <v/>
      </c>
      <c r="N166" s="52" t="str">
        <f>IF(AND('Mapa final'!$AB$38="Baja",'Mapa final'!$AD$38="Menor"),CONCATENATE("R11C",'Mapa final'!$R$38),"")</f>
        <v/>
      </c>
      <c r="O166" s="125" t="str">
        <f>IF(AND('Mapa final'!$AB$39="Baja",'Mapa final'!$AD$39="Menor"),CONCATENATE("R11C",'Mapa final'!$R$39),"")</f>
        <v/>
      </c>
      <c r="P166" s="51" t="str">
        <f>IF(AND('Mapa final'!$AB$37="Baja",'Mapa final'!$AD$37="Moderado"),CONCATENATE("R11C",'Mapa final'!$R$37),"")</f>
        <v/>
      </c>
      <c r="Q166" s="52" t="str">
        <f>IF(AND('Mapa final'!$AB$38="Baja",'Mapa final'!$AD$38="Moderado"),CONCATENATE("R11C",'Mapa final'!$R$38),"")</f>
        <v/>
      </c>
      <c r="R166" s="125" t="str">
        <f>IF(AND('Mapa final'!$AB$39="Baja",'Mapa final'!$AD$39="Moderado"),CONCATENATE("R11C",'Mapa final'!$R$39),"")</f>
        <v/>
      </c>
      <c r="S166" s="119" t="str">
        <f>IF(AND('Mapa final'!$AB$37="Baja",'Mapa final'!$AD$37="Mayor"),CONCATENATE("R11C",'Mapa final'!$R$37),"")</f>
        <v>R11C1</v>
      </c>
      <c r="T166" s="44" t="str">
        <f>IF(AND('Mapa final'!$AB$38="Baja",'Mapa final'!$AD$38="Mayor"),CONCATENATE("R11C",'Mapa final'!$R$38),"")</f>
        <v/>
      </c>
      <c r="U166" s="120" t="str">
        <f>IF(AND('Mapa final'!$AB$39="Baja",'Mapa final'!$AD$39="Mayor"),CONCATENATE("R11C",'Mapa final'!$R$39),"")</f>
        <v/>
      </c>
      <c r="V166" s="45" t="str">
        <f>IF(AND('Mapa final'!$AB$37="Baja",'Mapa final'!$AD$37="Catastrófico"),CONCATENATE("R11C",'Mapa final'!$R$37),"")</f>
        <v/>
      </c>
      <c r="W166" s="46" t="str">
        <f>IF(AND('Mapa final'!$AB$38="Baja",'Mapa final'!$AD$38="Catastrófico"),CONCATENATE("R11C",'Mapa final'!$R$38),"")</f>
        <v/>
      </c>
      <c r="X166" s="114" t="str">
        <f>IF(AND('Mapa final'!$AB$39="Baja",'Mapa final'!$AD$39="Catastrófico"),CONCATENATE("R11C",'Mapa final'!$R$39),"")</f>
        <v/>
      </c>
      <c r="Y166" s="58"/>
      <c r="Z166" s="389"/>
      <c r="AA166" s="390"/>
      <c r="AB166" s="390"/>
      <c r="AC166" s="390"/>
      <c r="AD166" s="390"/>
      <c r="AE166" s="391"/>
      <c r="AF166" s="58"/>
      <c r="AG166" s="58"/>
      <c r="AH166" s="58"/>
      <c r="AI166" s="58"/>
      <c r="AJ166" s="58"/>
      <c r="AK166" s="58"/>
      <c r="AL166" s="58"/>
      <c r="AM166" s="58"/>
      <c r="AN166" s="58"/>
      <c r="AO166" s="58"/>
      <c r="AP166" s="58"/>
      <c r="AQ166" s="58"/>
      <c r="AR166" s="58"/>
      <c r="AS166" s="58"/>
      <c r="AT166" s="58"/>
      <c r="AU166" s="58"/>
      <c r="AV166" s="58"/>
      <c r="AW166" s="58"/>
      <c r="AX166" s="58"/>
      <c r="AY166" s="58"/>
      <c r="AZ166" s="58"/>
      <c r="BA166" s="58"/>
      <c r="BB166" s="58"/>
      <c r="BC166" s="58"/>
      <c r="BD166" s="58"/>
      <c r="BE166" s="58"/>
      <c r="BF166" s="58"/>
      <c r="BG166" s="58"/>
      <c r="BH166" s="58"/>
      <c r="BI166" s="58"/>
    </row>
    <row r="167" spans="1:61" ht="15" customHeight="1" x14ac:dyDescent="0.25">
      <c r="A167" s="58"/>
      <c r="B167" s="356"/>
      <c r="C167" s="356"/>
      <c r="D167" s="357"/>
      <c r="E167" s="369"/>
      <c r="F167" s="370"/>
      <c r="G167" s="370"/>
      <c r="H167" s="370"/>
      <c r="I167" s="370"/>
      <c r="J167" s="129" t="str">
        <f>IF(AND('Mapa final'!$AB$40="Baja",'Mapa final'!$AD$40="Leve"),CONCATENATE("R12C",'Mapa final'!$R$40),"")</f>
        <v/>
      </c>
      <c r="K167" s="56" t="str">
        <f>IF(AND('Mapa final'!$AB$41="Baja",'Mapa final'!$AD$41="Leve"),CONCATENATE("R12C",'Mapa final'!$R$41),"")</f>
        <v/>
      </c>
      <c r="L167" s="130" t="str">
        <f>IF(AND('Mapa final'!$AB$42="Baja",'Mapa final'!$AD$42="Leve"),CONCATENATE("R12C",'Mapa final'!$R$42),"")</f>
        <v/>
      </c>
      <c r="M167" s="51" t="str">
        <f>IF(AND('Mapa final'!$AB$40="Baja",'Mapa final'!$AD$40="Menor"),CONCATENATE("R12C",'Mapa final'!$R$40),"")</f>
        <v/>
      </c>
      <c r="N167" s="52" t="str">
        <f>IF(AND('Mapa final'!$AB$41="Baja",'Mapa final'!$AD$41="Menor"),CONCATENATE("R12C",'Mapa final'!$R$41),"")</f>
        <v/>
      </c>
      <c r="O167" s="125" t="str">
        <f>IF(AND('Mapa final'!$AB$42="Baja",'Mapa final'!$AD$42="Menor"),CONCATENATE("R12C",'Mapa final'!$R$42),"")</f>
        <v/>
      </c>
      <c r="P167" s="51" t="str">
        <f>IF(AND('Mapa final'!$AB$40="Baja",'Mapa final'!$AD$40="Moderado"),CONCATENATE("R12C",'Mapa final'!$R$40),"")</f>
        <v>R12C1</v>
      </c>
      <c r="Q167" s="52" t="str">
        <f>IF(AND('Mapa final'!$AB$41="Baja",'Mapa final'!$AD$41="Moderado"),CONCATENATE("R12C",'Mapa final'!$R$41),"")</f>
        <v/>
      </c>
      <c r="R167" s="125" t="str">
        <f>IF(AND('Mapa final'!$AB$42="Baja",'Mapa final'!$AD$42="Moderado"),CONCATENATE("R12C",'Mapa final'!$R$42),"")</f>
        <v/>
      </c>
      <c r="S167" s="119" t="str">
        <f>IF(AND('Mapa final'!$AB$40="Baja",'Mapa final'!$AD$40="Mayor"),CONCATENATE("R12C",'Mapa final'!$R$40),"")</f>
        <v/>
      </c>
      <c r="T167" s="44" t="str">
        <f>IF(AND('Mapa final'!$AB$41="Baja",'Mapa final'!$AD$41="Mayor"),CONCATENATE("R12C",'Mapa final'!$R$41),"")</f>
        <v/>
      </c>
      <c r="U167" s="120" t="str">
        <f>IF(AND('Mapa final'!$AB$42="Baja",'Mapa final'!$AD$42="Mayor"),CONCATENATE("R12C",'Mapa final'!$R$42),"")</f>
        <v/>
      </c>
      <c r="V167" s="45" t="str">
        <f>IF(AND('Mapa final'!$AB$40="Baja",'Mapa final'!$AD$40="Catastrófico"),CONCATENATE("R12C",'Mapa final'!$R$40),"")</f>
        <v/>
      </c>
      <c r="W167" s="46" t="str">
        <f>IF(AND('Mapa final'!$AB$41="Baja",'Mapa final'!$AD$41="Catastrófico"),CONCATENATE("R12C",'Mapa final'!$R$41),"")</f>
        <v/>
      </c>
      <c r="X167" s="114" t="str">
        <f>IF(AND('Mapa final'!$AB$42="Baja",'Mapa final'!$AD$42="Catastrófico"),CONCATENATE("R12C",'Mapa final'!$R$42),"")</f>
        <v/>
      </c>
      <c r="Y167" s="58"/>
      <c r="Z167" s="389"/>
      <c r="AA167" s="390"/>
      <c r="AB167" s="390"/>
      <c r="AC167" s="390"/>
      <c r="AD167" s="390"/>
      <c r="AE167" s="391"/>
      <c r="AF167" s="58"/>
      <c r="AG167" s="58"/>
      <c r="AH167" s="58"/>
      <c r="AI167" s="58"/>
      <c r="AJ167" s="58"/>
      <c r="AK167" s="58"/>
      <c r="AL167" s="58"/>
      <c r="AM167" s="58"/>
      <c r="AN167" s="58"/>
      <c r="AO167" s="58"/>
      <c r="AP167" s="58"/>
      <c r="AQ167" s="58"/>
      <c r="AR167" s="58"/>
      <c r="AS167" s="58"/>
      <c r="AT167" s="58"/>
      <c r="AU167" s="58"/>
      <c r="AV167" s="58"/>
      <c r="AW167" s="58"/>
      <c r="AX167" s="58"/>
      <c r="AY167" s="58"/>
      <c r="AZ167" s="58"/>
      <c r="BA167" s="58"/>
      <c r="BB167" s="58"/>
      <c r="BC167" s="58"/>
      <c r="BD167" s="58"/>
      <c r="BE167" s="58"/>
      <c r="BF167" s="58"/>
      <c r="BG167" s="58"/>
      <c r="BH167" s="58"/>
      <c r="BI167" s="58"/>
    </row>
    <row r="168" spans="1:61" ht="15" customHeight="1" x14ac:dyDescent="0.25">
      <c r="A168" s="58"/>
      <c r="B168" s="356"/>
      <c r="C168" s="356"/>
      <c r="D168" s="357"/>
      <c r="E168" s="369"/>
      <c r="F168" s="370"/>
      <c r="G168" s="370"/>
      <c r="H168" s="370"/>
      <c r="I168" s="370"/>
      <c r="J168" s="129" t="str">
        <f>IF(AND('Mapa final'!$AB$43="Baja",'Mapa final'!$AD$43="Leve"),CONCATENATE("R13C",'Mapa final'!$R$43),"")</f>
        <v/>
      </c>
      <c r="K168" s="56" t="str">
        <f>IF(AND('Mapa final'!$AB$44="Baja",'Mapa final'!$AD$44="Leve"),CONCATENATE("R13C",'Mapa final'!$R$44),"")</f>
        <v/>
      </c>
      <c r="L168" s="130" t="str">
        <f>IF(AND('Mapa final'!$AB$45="Baja",'Mapa final'!$AD$45="Leve"),CONCATENATE("R13C",'Mapa final'!$R$45),"")</f>
        <v/>
      </c>
      <c r="M168" s="51" t="str">
        <f>IF(AND('Mapa final'!$AB$43="Baja",'Mapa final'!$AD$43="Menor"),CONCATENATE("R13C",'Mapa final'!$R$43),"")</f>
        <v/>
      </c>
      <c r="N168" s="52" t="str">
        <f>IF(AND('Mapa final'!$AB$44="Baja",'Mapa final'!$AD$44="Menor"),CONCATENATE("R13C",'Mapa final'!$R$44),"")</f>
        <v/>
      </c>
      <c r="O168" s="125" t="str">
        <f>IF(AND('Mapa final'!$AB$45="Baja",'Mapa final'!$AD$45="Menor"),CONCATENATE("R13C",'Mapa final'!$R$45),"")</f>
        <v/>
      </c>
      <c r="P168" s="51" t="str">
        <f>IF(AND('Mapa final'!$AB$43="Baja",'Mapa final'!$AD$43="Moderado"),CONCATENATE("R13C",'Mapa final'!$R$43),"")</f>
        <v/>
      </c>
      <c r="Q168" s="52" t="str">
        <f>IF(AND('Mapa final'!$AB$44="Baja",'Mapa final'!$AD$44="Moderado"),CONCATENATE("R13C",'Mapa final'!$R$44),"")</f>
        <v/>
      </c>
      <c r="R168" s="125" t="str">
        <f>IF(AND('Mapa final'!$AB$45="Baja",'Mapa final'!$AD$45="Moderado"),CONCATENATE("R13C",'Mapa final'!$R$45),"")</f>
        <v/>
      </c>
      <c r="S168" s="119" t="str">
        <f>IF(AND('Mapa final'!$AB$43="Baja",'Mapa final'!$AD$43="Mayor"),CONCATENATE("R13C",'Mapa final'!$R$43),"")</f>
        <v/>
      </c>
      <c r="T168" s="44" t="str">
        <f>IF(AND('Mapa final'!$AB$44="Baja",'Mapa final'!$AD$44="Mayor"),CONCATENATE("R13C",'Mapa final'!$R$44),"")</f>
        <v/>
      </c>
      <c r="U168" s="120" t="str">
        <f>IF(AND('Mapa final'!$AB$45="Baja",'Mapa final'!$AD$45="Mayor"),CONCATENATE("R13C",'Mapa final'!$R$45),"")</f>
        <v/>
      </c>
      <c r="V168" s="45" t="str">
        <f>IF(AND('Mapa final'!$AB$43="Baja",'Mapa final'!$AD$43="Catastrófico"),CONCATENATE("R13C",'Mapa final'!$R$43),"")</f>
        <v/>
      </c>
      <c r="W168" s="46" t="str">
        <f>IF(AND('Mapa final'!$AB$44="Baja",'Mapa final'!$AD$44="Catastrófico"),CONCATENATE("R13C",'Mapa final'!$R$44),"")</f>
        <v/>
      </c>
      <c r="X168" s="114" t="str">
        <f>IF(AND('Mapa final'!$AB$45="Baja",'Mapa final'!$AD$45="Catastrófico"),CONCATENATE("R13C",'Mapa final'!$R$45),"")</f>
        <v/>
      </c>
      <c r="Y168" s="58"/>
      <c r="Z168" s="389"/>
      <c r="AA168" s="390"/>
      <c r="AB168" s="390"/>
      <c r="AC168" s="390"/>
      <c r="AD168" s="390"/>
      <c r="AE168" s="391"/>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row>
    <row r="169" spans="1:61" ht="15" customHeight="1" x14ac:dyDescent="0.25">
      <c r="A169" s="58"/>
      <c r="B169" s="356"/>
      <c r="C169" s="356"/>
      <c r="D169" s="357"/>
      <c r="E169" s="369"/>
      <c r="F169" s="370"/>
      <c r="G169" s="370"/>
      <c r="H169" s="370"/>
      <c r="I169" s="370"/>
      <c r="J169" s="129" t="e">
        <f>IF(AND('Mapa final'!#REF!="Baja",'Mapa final'!#REF!="Leve"),CONCATENATE("R14C",'Mapa final'!#REF!),"")</f>
        <v>#REF!</v>
      </c>
      <c r="K169" s="56" t="e">
        <f>IF(AND('Mapa final'!#REF!="Baja",'Mapa final'!#REF!="Leve"),CONCATENATE("R14C",'Mapa final'!#REF!),"")</f>
        <v>#REF!</v>
      </c>
      <c r="L169" s="130" t="e">
        <f>IF(AND('Mapa final'!#REF!="Baja",'Mapa final'!#REF!="Leve"),CONCATENATE("R14C",'Mapa final'!#REF!),"")</f>
        <v>#REF!</v>
      </c>
      <c r="M169" s="51" t="e">
        <f>IF(AND('Mapa final'!#REF!="Baja",'Mapa final'!#REF!="Menor"),CONCATENATE("R14C",'Mapa final'!#REF!),"")</f>
        <v>#REF!</v>
      </c>
      <c r="N169" s="52" t="e">
        <f>IF(AND('Mapa final'!#REF!="Baja",'Mapa final'!#REF!="Menor"),CONCATENATE("R14C",'Mapa final'!#REF!),"")</f>
        <v>#REF!</v>
      </c>
      <c r="O169" s="125" t="e">
        <f>IF(AND('Mapa final'!#REF!="Baja",'Mapa final'!#REF!="Menor"),CONCATENATE("R14C",'Mapa final'!#REF!),"")</f>
        <v>#REF!</v>
      </c>
      <c r="P169" s="51" t="e">
        <f>IF(AND('Mapa final'!#REF!="Baja",'Mapa final'!#REF!="Moderado"),CONCATENATE("R14C",'Mapa final'!#REF!),"")</f>
        <v>#REF!</v>
      </c>
      <c r="Q169" s="52" t="e">
        <f>IF(AND('Mapa final'!#REF!="Baja",'Mapa final'!#REF!="Moderado"),CONCATENATE("R14C",'Mapa final'!#REF!),"")</f>
        <v>#REF!</v>
      </c>
      <c r="R169" s="125" t="e">
        <f>IF(AND('Mapa final'!#REF!="Baja",'Mapa final'!#REF!="Moderado"),CONCATENATE("R14C",'Mapa final'!#REF!),"")</f>
        <v>#REF!</v>
      </c>
      <c r="S169" s="119" t="e">
        <f>IF(AND('Mapa final'!#REF!="Baja",'Mapa final'!#REF!="Mayor"),CONCATENATE("R14C",'Mapa final'!#REF!),"")</f>
        <v>#REF!</v>
      </c>
      <c r="T169" s="44" t="e">
        <f>IF(AND('Mapa final'!#REF!="Baja",'Mapa final'!#REF!="Mayor"),CONCATENATE("R14C",'Mapa final'!#REF!),"")</f>
        <v>#REF!</v>
      </c>
      <c r="U169" s="120" t="e">
        <f>IF(AND('Mapa final'!#REF!="Baja",'Mapa final'!#REF!="Mayor"),CONCATENATE("R14C",'Mapa final'!#REF!),"")</f>
        <v>#REF!</v>
      </c>
      <c r="V169" s="45" t="e">
        <f>IF(AND('Mapa final'!#REF!="Baja",'Mapa final'!#REF!="Catastrófico"),CONCATENATE("R14C",'Mapa final'!#REF!),"")</f>
        <v>#REF!</v>
      </c>
      <c r="W169" s="46" t="e">
        <f>IF(AND('Mapa final'!#REF!="Baja",'Mapa final'!#REF!="Catastrófico"),CONCATENATE("R14C",'Mapa final'!#REF!),"")</f>
        <v>#REF!</v>
      </c>
      <c r="X169" s="114" t="e">
        <f>IF(AND('Mapa final'!#REF!="Baja",'Mapa final'!#REF!="Catastrófico"),CONCATENATE("R14C",'Mapa final'!#REF!),"")</f>
        <v>#REF!</v>
      </c>
      <c r="Y169" s="58"/>
      <c r="Z169" s="389"/>
      <c r="AA169" s="390"/>
      <c r="AB169" s="390"/>
      <c r="AC169" s="390"/>
      <c r="AD169" s="390"/>
      <c r="AE169" s="391"/>
      <c r="AF169" s="58"/>
      <c r="AG169" s="58"/>
      <c r="AH169" s="58"/>
      <c r="AI169" s="58"/>
      <c r="AJ169" s="58"/>
      <c r="AK169" s="58"/>
      <c r="AL169" s="58"/>
      <c r="AM169" s="58"/>
      <c r="AN169" s="58"/>
      <c r="AO169" s="58"/>
      <c r="AP169" s="58"/>
      <c r="AQ169" s="58"/>
      <c r="AR169" s="58"/>
      <c r="AS169" s="58"/>
      <c r="AT169" s="58"/>
      <c r="AU169" s="58"/>
      <c r="AV169" s="58"/>
      <c r="AW169" s="58"/>
      <c r="AX169" s="58"/>
      <c r="AY169" s="58"/>
      <c r="AZ169" s="58"/>
      <c r="BA169" s="58"/>
      <c r="BB169" s="58"/>
      <c r="BC169" s="58"/>
      <c r="BD169" s="58"/>
      <c r="BE169" s="58"/>
      <c r="BF169" s="58"/>
      <c r="BG169" s="58"/>
      <c r="BH169" s="58"/>
      <c r="BI169" s="58"/>
    </row>
    <row r="170" spans="1:61" ht="15" customHeight="1" x14ac:dyDescent="0.25">
      <c r="A170" s="58"/>
      <c r="B170" s="356"/>
      <c r="C170" s="356"/>
      <c r="D170" s="357"/>
      <c r="E170" s="369"/>
      <c r="F170" s="370"/>
      <c r="G170" s="370"/>
      <c r="H170" s="370"/>
      <c r="I170" s="370"/>
      <c r="J170" s="129" t="str">
        <f>IF(AND('Mapa final'!$AB$46="Baja",'Mapa final'!$AD$46="Leve"),CONCATENATE("R15C",'Mapa final'!$R$46),"")</f>
        <v/>
      </c>
      <c r="K170" s="56" t="str">
        <f>IF(AND('Mapa final'!$AB$47="Baja",'Mapa final'!$AD$47="Leve"),CONCATENATE("R15C",'Mapa final'!$R$47),"")</f>
        <v/>
      </c>
      <c r="L170" s="130" t="str">
        <f>IF(AND('Mapa final'!$AB$48="Baja",'Mapa final'!$AD$48="Leve"),CONCATENATE("R15C",'Mapa final'!$R$48),"")</f>
        <v/>
      </c>
      <c r="M170" s="51" t="str">
        <f>IF(AND('Mapa final'!$AB$46="Baja",'Mapa final'!$AD$46="Menor"),CONCATENATE("R15C",'Mapa final'!$R$46),"")</f>
        <v/>
      </c>
      <c r="N170" s="52" t="str">
        <f>IF(AND('Mapa final'!$AB$47="Baja",'Mapa final'!$AD$47="Menor"),CONCATENATE("R15C",'Mapa final'!$R$47),"")</f>
        <v/>
      </c>
      <c r="O170" s="125" t="str">
        <f>IF(AND('Mapa final'!$AB$48="Baja",'Mapa final'!$AD$48="Menor"),CONCATENATE("R15C",'Mapa final'!$R$48),"")</f>
        <v/>
      </c>
      <c r="P170" s="51" t="str">
        <f>IF(AND('Mapa final'!$AB$46="Baja",'Mapa final'!$AD$46="Moderado"),CONCATENATE("R15C",'Mapa final'!$R$46),"")</f>
        <v>R15C1</v>
      </c>
      <c r="Q170" s="52" t="str">
        <f>IF(AND('Mapa final'!$AB$47="Baja",'Mapa final'!$AD$47="Moderado"),CONCATENATE("R15C",'Mapa final'!$R$47),"")</f>
        <v/>
      </c>
      <c r="R170" s="125" t="str">
        <f>IF(AND('Mapa final'!$AB$48="Baja",'Mapa final'!$AD$48="Moderado"),CONCATENATE("R15C",'Mapa final'!$R$48),"")</f>
        <v/>
      </c>
      <c r="S170" s="119" t="str">
        <f>IF(AND('Mapa final'!$AB$46="Baja",'Mapa final'!$AD$46="Mayor"),CONCATENATE("R15C",'Mapa final'!$R$46),"")</f>
        <v/>
      </c>
      <c r="T170" s="44" t="str">
        <f>IF(AND('Mapa final'!$AB$47="Baja",'Mapa final'!$AD$47="Mayor"),CONCATENATE("R15C",'Mapa final'!$R$47),"")</f>
        <v/>
      </c>
      <c r="U170" s="120" t="str">
        <f>IF(AND('Mapa final'!$AB$48="Baja",'Mapa final'!$AD$48="Mayor"),CONCATENATE("R15C",'Mapa final'!$R$48),"")</f>
        <v/>
      </c>
      <c r="V170" s="45" t="str">
        <f>IF(AND('Mapa final'!$AB$46="Baja",'Mapa final'!$AD$46="Catastrófico"),CONCATENATE("R15C",'Mapa final'!$R$46),"")</f>
        <v/>
      </c>
      <c r="W170" s="46" t="str">
        <f>IF(AND('Mapa final'!$AB$47="Baja",'Mapa final'!$AD$47="Catastrófico"),CONCATENATE("R15C",'Mapa final'!$R$47),"")</f>
        <v/>
      </c>
      <c r="X170" s="114" t="str">
        <f>IF(AND('Mapa final'!$AB$48="Baja",'Mapa final'!$AD$48="Catastrófico"),CONCATENATE("R15C",'Mapa final'!$R$48),"")</f>
        <v/>
      </c>
      <c r="Y170" s="58"/>
      <c r="Z170" s="389"/>
      <c r="AA170" s="390"/>
      <c r="AB170" s="390"/>
      <c r="AC170" s="390"/>
      <c r="AD170" s="390"/>
      <c r="AE170" s="391"/>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c r="BC170" s="58"/>
      <c r="BD170" s="58"/>
      <c r="BE170" s="58"/>
      <c r="BF170" s="58"/>
      <c r="BG170" s="58"/>
      <c r="BH170" s="58"/>
      <c r="BI170" s="58"/>
    </row>
    <row r="171" spans="1:61" ht="15" customHeight="1" x14ac:dyDescent="0.25">
      <c r="A171" s="58"/>
      <c r="B171" s="356"/>
      <c r="C171" s="356"/>
      <c r="D171" s="357"/>
      <c r="E171" s="369"/>
      <c r="F171" s="370"/>
      <c r="G171" s="370"/>
      <c r="H171" s="370"/>
      <c r="I171" s="370"/>
      <c r="J171" s="129" t="str">
        <f>IF(AND('Mapa final'!$AB$49="Baja",'Mapa final'!$AD$49="Leve"),CONCATENATE("R16C",'Mapa final'!$R$49),"")</f>
        <v/>
      </c>
      <c r="K171" s="56" t="str">
        <f>IF(AND('Mapa final'!$AB$50="Baja",'Mapa final'!$AD$50="Leve"),CONCATENATE("R16C",'Mapa final'!$R$50),"")</f>
        <v/>
      </c>
      <c r="L171" s="130" t="str">
        <f>IF(AND('Mapa final'!$AB$51="Baja",'Mapa final'!$AD$51="Leve"),CONCATENATE("R16C",'Mapa final'!$R$51),"")</f>
        <v/>
      </c>
      <c r="M171" s="51" t="str">
        <f>IF(AND('Mapa final'!$AB$49="Baja",'Mapa final'!$AD$49="Menor"),CONCATENATE("R16C",'Mapa final'!$R$49),"")</f>
        <v/>
      </c>
      <c r="N171" s="52" t="str">
        <f>IF(AND('Mapa final'!$AB$50="Baja",'Mapa final'!$AD$50="Menor"),CONCATENATE("R16C",'Mapa final'!$R$50),"")</f>
        <v/>
      </c>
      <c r="O171" s="125" t="str">
        <f>IF(AND('Mapa final'!$AB$51="Baja",'Mapa final'!$AD$51="Menor"),CONCATENATE("R16C",'Mapa final'!$R$51),"")</f>
        <v/>
      </c>
      <c r="P171" s="51" t="str">
        <f>IF(AND('Mapa final'!$AB$49="Baja",'Mapa final'!$AD$49="Moderado"),CONCATENATE("R16C",'Mapa final'!$R$49),"")</f>
        <v/>
      </c>
      <c r="Q171" s="52" t="str">
        <f>IF(AND('Mapa final'!$AB$50="Baja",'Mapa final'!$AD$50="Moderado"),CONCATENATE("R16C",'Mapa final'!$R$50),"")</f>
        <v/>
      </c>
      <c r="R171" s="125" t="str">
        <f>IF(AND('Mapa final'!$AB$51="Baja",'Mapa final'!$AD$51="Moderado"),CONCATENATE("R16C",'Mapa final'!$R$51),"")</f>
        <v/>
      </c>
      <c r="S171" s="119" t="str">
        <f>IF(AND('Mapa final'!$AB$49="Baja",'Mapa final'!$AD$49="Mayor"),CONCATENATE("R16C",'Mapa final'!$R$49),"")</f>
        <v/>
      </c>
      <c r="T171" s="44" t="str">
        <f>IF(AND('Mapa final'!$AB$50="Baja",'Mapa final'!$AD$50="Mayor"),CONCATENATE("R16C",'Mapa final'!$R$50),"")</f>
        <v/>
      </c>
      <c r="U171" s="120" t="str">
        <f>IF(AND('Mapa final'!$AB$51="Baja",'Mapa final'!$AD$51="Mayor"),CONCATENATE("R16C",'Mapa final'!$R$51),"")</f>
        <v/>
      </c>
      <c r="V171" s="45" t="str">
        <f>IF(AND('Mapa final'!$AB$49="Baja",'Mapa final'!$AD$49="Catastrófico"),CONCATENATE("R16C",'Mapa final'!$R$49),"")</f>
        <v/>
      </c>
      <c r="W171" s="46" t="str">
        <f>IF(AND('Mapa final'!$AB$50="Baja",'Mapa final'!$AD$50="Catastrófico"),CONCATENATE("R16C",'Mapa final'!$R$50),"")</f>
        <v/>
      </c>
      <c r="X171" s="114" t="str">
        <f>IF(AND('Mapa final'!$AB$51="Baja",'Mapa final'!$AD$51="Catastrófico"),CONCATENATE("R16C",'Mapa final'!$R$51),"")</f>
        <v/>
      </c>
      <c r="Y171" s="58"/>
      <c r="Z171" s="389"/>
      <c r="AA171" s="390"/>
      <c r="AB171" s="390"/>
      <c r="AC171" s="390"/>
      <c r="AD171" s="390"/>
      <c r="AE171" s="391"/>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c r="BC171" s="58"/>
      <c r="BD171" s="58"/>
      <c r="BE171" s="58"/>
      <c r="BF171" s="58"/>
      <c r="BG171" s="58"/>
      <c r="BH171" s="58"/>
      <c r="BI171" s="58"/>
    </row>
    <row r="172" spans="1:61" ht="15" customHeight="1" x14ac:dyDescent="0.25">
      <c r="A172" s="58"/>
      <c r="B172" s="356"/>
      <c r="C172" s="356"/>
      <c r="D172" s="357"/>
      <c r="E172" s="369"/>
      <c r="F172" s="370"/>
      <c r="G172" s="370"/>
      <c r="H172" s="370"/>
      <c r="I172" s="370"/>
      <c r="J172" s="129" t="str">
        <f>IF(AND('Mapa final'!$AB$52="Baja",'Mapa final'!$AD$52="Leve"),CONCATENATE("R17C",'Mapa final'!$R$52),"")</f>
        <v/>
      </c>
      <c r="K172" s="56" t="str">
        <f>IF(AND('Mapa final'!$AB$53="Baja",'Mapa final'!$AD$53="Leve"),CONCATENATE("R17C",'Mapa final'!$R$53),"")</f>
        <v/>
      </c>
      <c r="L172" s="130" t="str">
        <f>IF(AND('Mapa final'!$AB$54="Baja",'Mapa final'!$AD$54="Leve"),CONCATENATE("R17C",'Mapa final'!$R$54),"")</f>
        <v/>
      </c>
      <c r="M172" s="51" t="str">
        <f>IF(AND('Mapa final'!$AB$52="Baja",'Mapa final'!$AD$52="Menor"),CONCATENATE("R17C",'Mapa final'!$R$52),"")</f>
        <v/>
      </c>
      <c r="N172" s="52" t="str">
        <f>IF(AND('Mapa final'!$AB$53="Baja",'Mapa final'!$AD$53="Menor"),CONCATENATE("R17C",'Mapa final'!$R$53),"")</f>
        <v/>
      </c>
      <c r="O172" s="125" t="str">
        <f>IF(AND('Mapa final'!$AB$54="Baja",'Mapa final'!$AD$54="Menor"),CONCATENATE("R17C",'Mapa final'!$R$54),"")</f>
        <v/>
      </c>
      <c r="P172" s="51" t="str">
        <f>IF(AND('Mapa final'!$AB$52="Baja",'Mapa final'!$AD$52="Moderado"),CONCATENATE("R17C",'Mapa final'!$R$52),"")</f>
        <v/>
      </c>
      <c r="Q172" s="52" t="str">
        <f>IF(AND('Mapa final'!$AB$53="Baja",'Mapa final'!$AD$53="Moderado"),CONCATENATE("R17C",'Mapa final'!$R$53),"")</f>
        <v/>
      </c>
      <c r="R172" s="125" t="str">
        <f>IF(AND('Mapa final'!$AB$54="Baja",'Mapa final'!$AD$54="Moderado"),CONCATENATE("R17C",'Mapa final'!$R$54),"")</f>
        <v/>
      </c>
      <c r="S172" s="119" t="str">
        <f>IF(AND('Mapa final'!$AB$52="Baja",'Mapa final'!$AD$52="Mayor"),CONCATENATE("R17C",'Mapa final'!$R$52),"")</f>
        <v/>
      </c>
      <c r="T172" s="44" t="str">
        <f>IF(AND('Mapa final'!$AB$53="Baja",'Mapa final'!$AD$53="Mayor"),CONCATENATE("R17C",'Mapa final'!$R$53),"")</f>
        <v/>
      </c>
      <c r="U172" s="120" t="str">
        <f>IF(AND('Mapa final'!$AB$54="Baja",'Mapa final'!$AD$54="Mayor"),CONCATENATE("R17C",'Mapa final'!$R$54),"")</f>
        <v/>
      </c>
      <c r="V172" s="45" t="str">
        <f>IF(AND('Mapa final'!$AB$52="Baja",'Mapa final'!$AD$52="Catastrófico"),CONCATENATE("R17C",'Mapa final'!$R$52),"")</f>
        <v/>
      </c>
      <c r="W172" s="46" t="str">
        <f>IF(AND('Mapa final'!$AB$53="Baja",'Mapa final'!$AD$53="Catastrófico"),CONCATENATE("R17C",'Mapa final'!$R$53),"")</f>
        <v/>
      </c>
      <c r="X172" s="114" t="str">
        <f>IF(AND('Mapa final'!$AB$54="Baja",'Mapa final'!$AD$54="Catastrófico"),CONCATENATE("R17C",'Mapa final'!$R$54),"")</f>
        <v/>
      </c>
      <c r="Y172" s="58"/>
      <c r="Z172" s="389"/>
      <c r="AA172" s="390"/>
      <c r="AB172" s="390"/>
      <c r="AC172" s="390"/>
      <c r="AD172" s="390"/>
      <c r="AE172" s="391"/>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c r="BC172" s="58"/>
      <c r="BD172" s="58"/>
      <c r="BE172" s="58"/>
      <c r="BF172" s="58"/>
      <c r="BG172" s="58"/>
      <c r="BH172" s="58"/>
      <c r="BI172" s="58"/>
    </row>
    <row r="173" spans="1:61" ht="15" customHeight="1" x14ac:dyDescent="0.25">
      <c r="A173" s="58"/>
      <c r="B173" s="356"/>
      <c r="C173" s="356"/>
      <c r="D173" s="357"/>
      <c r="E173" s="369"/>
      <c r="F173" s="370"/>
      <c r="G173" s="370"/>
      <c r="H173" s="370"/>
      <c r="I173" s="370"/>
      <c r="J173" s="129" t="str">
        <f>IF(AND('Mapa final'!$AB$55="Baja",'Mapa final'!$AD$55="Leve"),CONCATENATE("R18C",'Mapa final'!$R$55),"")</f>
        <v/>
      </c>
      <c r="K173" s="56" t="str">
        <f>IF(AND('Mapa final'!$AB$56="Baja",'Mapa final'!$AD$56="Leve"),CONCATENATE("R18C",'Mapa final'!$R$56),"")</f>
        <v/>
      </c>
      <c r="L173" s="130" t="str">
        <f>IF(AND('Mapa final'!$AB$57="Baja",'Mapa final'!$AD$57="Leve"),CONCATENATE("R18C",'Mapa final'!$R$57),"")</f>
        <v/>
      </c>
      <c r="M173" s="51" t="str">
        <f>IF(AND('Mapa final'!$AB$55="Baja",'Mapa final'!$AD$55="Menor"),CONCATENATE("R18C",'Mapa final'!$R$55),"")</f>
        <v/>
      </c>
      <c r="N173" s="52" t="str">
        <f>IF(AND('Mapa final'!$AB$56="Baja",'Mapa final'!$AD$56="Menor"),CONCATENATE("R18C",'Mapa final'!$R$56),"")</f>
        <v/>
      </c>
      <c r="O173" s="125" t="str">
        <f>IF(AND('Mapa final'!$AB$57="Baja",'Mapa final'!$AD$57="Menor"),CONCATENATE("R18C",'Mapa final'!$R$57),"")</f>
        <v/>
      </c>
      <c r="P173" s="51" t="str">
        <f>IF(AND('Mapa final'!$AB$55="Baja",'Mapa final'!$AD$55="Moderado"),CONCATENATE("R18C",'Mapa final'!$R$55),"")</f>
        <v/>
      </c>
      <c r="Q173" s="52" t="str">
        <f>IF(AND('Mapa final'!$AB$56="Baja",'Mapa final'!$AD$56="Moderado"),CONCATENATE("R18C",'Mapa final'!$R$56),"")</f>
        <v/>
      </c>
      <c r="R173" s="125" t="str">
        <f>IF(AND('Mapa final'!$AB$57="Baja",'Mapa final'!$AD$57="Moderado"),CONCATENATE("R18C",'Mapa final'!$R$57),"")</f>
        <v/>
      </c>
      <c r="S173" s="119" t="str">
        <f>IF(AND('Mapa final'!$AB$55="Baja",'Mapa final'!$AD$55="Mayor"),CONCATENATE("R18C",'Mapa final'!$R$55),"")</f>
        <v/>
      </c>
      <c r="T173" s="44" t="str">
        <f>IF(AND('Mapa final'!$AB$56="Baja",'Mapa final'!$AD$56="Mayor"),CONCATENATE("R18C",'Mapa final'!$R$56),"")</f>
        <v/>
      </c>
      <c r="U173" s="120" t="str">
        <f>IF(AND('Mapa final'!$AB$57="Baja",'Mapa final'!$AD$57="Mayor"),CONCATENATE("R18C",'Mapa final'!$R$57),"")</f>
        <v/>
      </c>
      <c r="V173" s="45" t="str">
        <f>IF(AND('Mapa final'!$AB$55="Baja",'Mapa final'!$AD$55="Catastrófico"),CONCATENATE("R18C",'Mapa final'!$R$55),"")</f>
        <v/>
      </c>
      <c r="W173" s="46" t="str">
        <f>IF(AND('Mapa final'!$AB$56="Baja",'Mapa final'!$AD$56="Catastrófico"),CONCATENATE("R18C",'Mapa final'!$R$56),"")</f>
        <v/>
      </c>
      <c r="X173" s="114" t="str">
        <f>IF(AND('Mapa final'!$AB$57="Baja",'Mapa final'!$AD$57="Catastrófico"),CONCATENATE("R18C",'Mapa final'!$R$57),"")</f>
        <v/>
      </c>
      <c r="Y173" s="58"/>
      <c r="Z173" s="389"/>
      <c r="AA173" s="390"/>
      <c r="AB173" s="390"/>
      <c r="AC173" s="390"/>
      <c r="AD173" s="390"/>
      <c r="AE173" s="391"/>
      <c r="AF173" s="58"/>
      <c r="AG173" s="58"/>
      <c r="AH173" s="58"/>
      <c r="AI173" s="58"/>
      <c r="AJ173" s="58"/>
      <c r="AK173" s="58"/>
      <c r="AL173" s="58"/>
      <c r="AM173" s="58"/>
      <c r="AN173" s="58"/>
      <c r="AO173" s="58"/>
      <c r="AP173" s="58"/>
      <c r="AQ173" s="58"/>
      <c r="AR173" s="58"/>
      <c r="AS173" s="58"/>
      <c r="AT173" s="58"/>
      <c r="AU173" s="58"/>
      <c r="AV173" s="58"/>
      <c r="AW173" s="58"/>
      <c r="AX173" s="58"/>
      <c r="AY173" s="58"/>
      <c r="AZ173" s="58"/>
      <c r="BA173" s="58"/>
      <c r="BB173" s="58"/>
      <c r="BC173" s="58"/>
      <c r="BD173" s="58"/>
      <c r="BE173" s="58"/>
      <c r="BF173" s="58"/>
      <c r="BG173" s="58"/>
      <c r="BH173" s="58"/>
      <c r="BI173" s="58"/>
    </row>
    <row r="174" spans="1:61" ht="15" customHeight="1" x14ac:dyDescent="0.25">
      <c r="A174" s="58"/>
      <c r="B174" s="356"/>
      <c r="C174" s="356"/>
      <c r="D174" s="357"/>
      <c r="E174" s="369"/>
      <c r="F174" s="370"/>
      <c r="G174" s="370"/>
      <c r="H174" s="370"/>
      <c r="I174" s="370"/>
      <c r="J174" s="129" t="str">
        <f>IF(AND('Mapa final'!$AB$58="Baja",'Mapa final'!$AD$58="Leve"),CONCATENATE("R19C",'Mapa final'!$R$58),"")</f>
        <v/>
      </c>
      <c r="K174" s="56" t="str">
        <f>IF(AND('Mapa final'!$AB$59="Baja",'Mapa final'!$AD$59="Leve"),CONCATENATE("R19C",'Mapa final'!$R$59),"")</f>
        <v/>
      </c>
      <c r="L174" s="130" t="str">
        <f>IF(AND('Mapa final'!$AB$60="Baja",'Mapa final'!$AD$60="Leve"),CONCATENATE("R19C",'Mapa final'!$R$60),"")</f>
        <v/>
      </c>
      <c r="M174" s="51" t="str">
        <f>IF(AND('Mapa final'!$AB$58="Baja",'Mapa final'!$AD$58="Menor"),CONCATENATE("R19C",'Mapa final'!$R$58),"")</f>
        <v/>
      </c>
      <c r="N174" s="52" t="str">
        <f>IF(AND('Mapa final'!$AB$59="Baja",'Mapa final'!$AD$59="Menor"),CONCATENATE("R19C",'Mapa final'!$R$59),"")</f>
        <v/>
      </c>
      <c r="O174" s="125" t="str">
        <f>IF(AND('Mapa final'!$AB$60="Baja",'Mapa final'!$AD$60="Menor"),CONCATENATE("R19C",'Mapa final'!$R$60),"")</f>
        <v/>
      </c>
      <c r="P174" s="51" t="str">
        <f>IF(AND('Mapa final'!$AB$58="Baja",'Mapa final'!$AD$58="Moderado"),CONCATENATE("R19C",'Mapa final'!$R$58),"")</f>
        <v/>
      </c>
      <c r="Q174" s="52" t="str">
        <f>IF(AND('Mapa final'!$AB$59="Baja",'Mapa final'!$AD$59="Moderado"),CONCATENATE("R19C",'Mapa final'!$R$59),"")</f>
        <v/>
      </c>
      <c r="R174" s="125" t="str">
        <f>IF(AND('Mapa final'!$AB$60="Baja",'Mapa final'!$AD$60="Moderado"),CONCATENATE("R19C",'Mapa final'!$R$60),"")</f>
        <v/>
      </c>
      <c r="S174" s="119" t="str">
        <f>IF(AND('Mapa final'!$AB$58="Baja",'Mapa final'!$AD$58="Mayor"),CONCATENATE("R19C",'Mapa final'!$R$58),"")</f>
        <v/>
      </c>
      <c r="T174" s="44" t="str">
        <f>IF(AND('Mapa final'!$AB$59="Baja",'Mapa final'!$AD$59="Mayor"),CONCATENATE("R19C",'Mapa final'!$R$59),"")</f>
        <v/>
      </c>
      <c r="U174" s="120" t="str">
        <f>IF(AND('Mapa final'!$AB$60="Baja",'Mapa final'!$AD$60="Mayor"),CONCATENATE("R19C",'Mapa final'!$R$60),"")</f>
        <v/>
      </c>
      <c r="V174" s="45" t="str">
        <f>IF(AND('Mapa final'!$AB$58="Baja",'Mapa final'!$AD$58="Catastrófico"),CONCATENATE("R19C",'Mapa final'!$R$58),"")</f>
        <v/>
      </c>
      <c r="W174" s="46" t="str">
        <f>IF(AND('Mapa final'!$AB$59="Baja",'Mapa final'!$AD$59="Catastrófico"),CONCATENATE("R19C",'Mapa final'!$R$59),"")</f>
        <v/>
      </c>
      <c r="X174" s="114" t="str">
        <f>IF(AND('Mapa final'!$AB$60="Baja",'Mapa final'!$AD$60="Catastrófico"),CONCATENATE("R19C",'Mapa final'!$R$60),"")</f>
        <v/>
      </c>
      <c r="Y174" s="58"/>
      <c r="Z174" s="389"/>
      <c r="AA174" s="390"/>
      <c r="AB174" s="390"/>
      <c r="AC174" s="390"/>
      <c r="AD174" s="390"/>
      <c r="AE174" s="391"/>
      <c r="AF174" s="58"/>
      <c r="AG174" s="58"/>
      <c r="AH174" s="58"/>
      <c r="AI174" s="58"/>
      <c r="AJ174" s="58"/>
      <c r="AK174" s="58"/>
      <c r="AL174" s="58"/>
      <c r="AM174" s="58"/>
      <c r="AN174" s="58"/>
      <c r="AO174" s="58"/>
      <c r="AP174" s="58"/>
      <c r="AQ174" s="58"/>
      <c r="AR174" s="58"/>
      <c r="AS174" s="58"/>
      <c r="AT174" s="58"/>
      <c r="AU174" s="58"/>
      <c r="AV174" s="58"/>
      <c r="AW174" s="58"/>
      <c r="AX174" s="58"/>
      <c r="AY174" s="58"/>
      <c r="AZ174" s="58"/>
      <c r="BA174" s="58"/>
      <c r="BB174" s="58"/>
      <c r="BC174" s="58"/>
      <c r="BD174" s="58"/>
      <c r="BE174" s="58"/>
      <c r="BF174" s="58"/>
      <c r="BG174" s="58"/>
      <c r="BH174" s="58"/>
      <c r="BI174" s="58"/>
    </row>
    <row r="175" spans="1:61" ht="15" customHeight="1" x14ac:dyDescent="0.25">
      <c r="A175" s="58"/>
      <c r="B175" s="356"/>
      <c r="C175" s="356"/>
      <c r="D175" s="357"/>
      <c r="E175" s="369"/>
      <c r="F175" s="370"/>
      <c r="G175" s="370"/>
      <c r="H175" s="370"/>
      <c r="I175" s="370"/>
      <c r="J175" s="129" t="str">
        <f>IF(AND('Mapa final'!$AB$61="Baja",'Mapa final'!$AD$61="Leve"),CONCATENATE("R20C",'Mapa final'!$R$61),"")</f>
        <v/>
      </c>
      <c r="K175" s="56" t="str">
        <f>IF(AND('Mapa final'!$AB$62="Baja",'Mapa final'!$AD$62="Leve"),CONCATENATE("R20C",'Mapa final'!$R$62),"")</f>
        <v/>
      </c>
      <c r="L175" s="130" t="str">
        <f>IF(AND('Mapa final'!$AB$63="Baja",'Mapa final'!$AD$63="Leve"),CONCATENATE("R20C",'Mapa final'!$R$63),"")</f>
        <v/>
      </c>
      <c r="M175" s="51" t="str">
        <f>IF(AND('Mapa final'!$AB$61="Baja",'Mapa final'!$AD$61="Menor"),CONCATENATE("R20C",'Mapa final'!$R$61),"")</f>
        <v/>
      </c>
      <c r="N175" s="52" t="str">
        <f>IF(AND('Mapa final'!$AB$62="Baja",'Mapa final'!$AD$62="Menor"),CONCATENATE("R20C",'Mapa final'!$R$62),"")</f>
        <v/>
      </c>
      <c r="O175" s="125" t="str">
        <f>IF(AND('Mapa final'!$AB$63="Baja",'Mapa final'!$AD$63="Menor"),CONCATENATE("R20C",'Mapa final'!$R$63),"")</f>
        <v/>
      </c>
      <c r="P175" s="51" t="str">
        <f>IF(AND('Mapa final'!$AB$61="Baja",'Mapa final'!$AD$61="Moderado"),CONCATENATE("R20C",'Mapa final'!$R$61),"")</f>
        <v/>
      </c>
      <c r="Q175" s="52" t="str">
        <f>IF(AND('Mapa final'!$AB$62="Baja",'Mapa final'!$AD$62="Moderado"),CONCATENATE("R20C",'Mapa final'!$R$62),"")</f>
        <v/>
      </c>
      <c r="R175" s="125" t="str">
        <f>IF(AND('Mapa final'!$AB$63="Baja",'Mapa final'!$AD$63="Moderado"),CONCATENATE("R20C",'Mapa final'!$R$63),"")</f>
        <v/>
      </c>
      <c r="S175" s="119" t="str">
        <f>IF(AND('Mapa final'!$AB$61="Baja",'Mapa final'!$AD$61="Mayor"),CONCATENATE("R20C",'Mapa final'!$R$61),"")</f>
        <v/>
      </c>
      <c r="T175" s="44" t="str">
        <f>IF(AND('Mapa final'!$AB$62="Baja",'Mapa final'!$AD$62="Mayor"),CONCATENATE("R20C",'Mapa final'!$R$62),"")</f>
        <v/>
      </c>
      <c r="U175" s="120" t="str">
        <f>IF(AND('Mapa final'!$AB$63="Baja",'Mapa final'!$AD$63="Mayor"),CONCATENATE("R20C",'Mapa final'!$R$63),"")</f>
        <v/>
      </c>
      <c r="V175" s="45" t="str">
        <f>IF(AND('Mapa final'!$AB$61="Baja",'Mapa final'!$AD$61="Catastrófico"),CONCATENATE("R20C",'Mapa final'!$R$61),"")</f>
        <v/>
      </c>
      <c r="W175" s="46" t="str">
        <f>IF(AND('Mapa final'!$AB$62="Baja",'Mapa final'!$AD$62="Catastrófico"),CONCATENATE("R20C",'Mapa final'!$R$62),"")</f>
        <v/>
      </c>
      <c r="X175" s="114" t="str">
        <f>IF(AND('Mapa final'!$AB$63="Baja",'Mapa final'!$AD$63="Catastrófico"),CONCATENATE("R20C",'Mapa final'!$R$63),"")</f>
        <v/>
      </c>
      <c r="Y175" s="58"/>
      <c r="Z175" s="389"/>
      <c r="AA175" s="390"/>
      <c r="AB175" s="390"/>
      <c r="AC175" s="390"/>
      <c r="AD175" s="390"/>
      <c r="AE175" s="391"/>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row>
    <row r="176" spans="1:61" ht="15" customHeight="1" x14ac:dyDescent="0.25">
      <c r="A176" s="58"/>
      <c r="B176" s="356"/>
      <c r="C176" s="356"/>
      <c r="D176" s="357"/>
      <c r="E176" s="369"/>
      <c r="F176" s="370"/>
      <c r="G176" s="370"/>
      <c r="H176" s="370"/>
      <c r="I176" s="370"/>
      <c r="J176" s="129" t="str">
        <f>IF(AND('Mapa final'!$AB$64="Baja",'Mapa final'!$AD$64="Leve"),CONCATENATE("R21C",'Mapa final'!$R$64),"")</f>
        <v/>
      </c>
      <c r="K176" s="56" t="str">
        <f>IF(AND('Mapa final'!$AB$65="Baja",'Mapa final'!$AD$65="Leve"),CONCATENATE("R21C",'Mapa final'!$R$65),"")</f>
        <v/>
      </c>
      <c r="L176" s="130" t="str">
        <f>IF(AND('Mapa final'!$AB$66="Baja",'Mapa final'!$AD$66="Leve"),CONCATENATE("R21C",'Mapa final'!$R$66),"")</f>
        <v/>
      </c>
      <c r="M176" s="51" t="str">
        <f>IF(AND('Mapa final'!$AB$64="Baja",'Mapa final'!$AD$64="Menor"),CONCATENATE("R21C",'Mapa final'!$R$64),"")</f>
        <v/>
      </c>
      <c r="N176" s="52" t="str">
        <f>IF(AND('Mapa final'!$AB$65="Baja",'Mapa final'!$AD$65="Menor"),CONCATENATE("R21C",'Mapa final'!$R$65),"")</f>
        <v/>
      </c>
      <c r="O176" s="125" t="str">
        <f>IF(AND('Mapa final'!$AB$66="Baja",'Mapa final'!$AD$66="Menor"),CONCATENATE("R21C",'Mapa final'!$R$66),"")</f>
        <v/>
      </c>
      <c r="P176" s="51" t="str">
        <f>IF(AND('Mapa final'!$AB$64="Baja",'Mapa final'!$AD$64="Moderado"),CONCATENATE("R21C",'Mapa final'!$R$64),"")</f>
        <v/>
      </c>
      <c r="Q176" s="52" t="str">
        <f>IF(AND('Mapa final'!$AB$65="Baja",'Mapa final'!$AD$65="Moderado"),CONCATENATE("R21C",'Mapa final'!$R$65),"")</f>
        <v/>
      </c>
      <c r="R176" s="125" t="str">
        <f>IF(AND('Mapa final'!$AB$66="Baja",'Mapa final'!$AD$66="Moderado"),CONCATENATE("R21C",'Mapa final'!$R$66),"")</f>
        <v/>
      </c>
      <c r="S176" s="119" t="str">
        <f>IF(AND('Mapa final'!$AB$64="Baja",'Mapa final'!$AD$64="Mayor"),CONCATENATE("R21C",'Mapa final'!$R$64),"")</f>
        <v>R21C1</v>
      </c>
      <c r="T176" s="44" t="str">
        <f>IF(AND('Mapa final'!$AB$65="Baja",'Mapa final'!$AD$65="Mayor"),CONCATENATE("R21C",'Mapa final'!$R$65),"")</f>
        <v/>
      </c>
      <c r="U176" s="120" t="str">
        <f>IF(AND('Mapa final'!$AB$66="Baja",'Mapa final'!$AD$66="Mayor"),CONCATENATE("R21C",'Mapa final'!$R$66),"")</f>
        <v/>
      </c>
      <c r="V176" s="45" t="str">
        <f>IF(AND('Mapa final'!$AB$64="Baja",'Mapa final'!$AD$64="Catastrófico"),CONCATENATE("R21C",'Mapa final'!$R$64),"")</f>
        <v/>
      </c>
      <c r="W176" s="46" t="str">
        <f>IF(AND('Mapa final'!$AB$65="Baja",'Mapa final'!$AD$65="Catastrófico"),CONCATENATE("R21C",'Mapa final'!$R$65),"")</f>
        <v/>
      </c>
      <c r="X176" s="114" t="str">
        <f>IF(AND('Mapa final'!$AB$66="Baja",'Mapa final'!$AD$66="Catastrófico"),CONCATENATE("R21C",'Mapa final'!$R$66),"")</f>
        <v/>
      </c>
      <c r="Y176" s="58"/>
      <c r="Z176" s="389"/>
      <c r="AA176" s="390"/>
      <c r="AB176" s="390"/>
      <c r="AC176" s="390"/>
      <c r="AD176" s="390"/>
      <c r="AE176" s="391"/>
      <c r="AF176" s="58"/>
      <c r="AG176" s="58"/>
      <c r="AH176" s="58"/>
      <c r="AI176" s="58"/>
      <c r="AJ176" s="58"/>
      <c r="AK176" s="58"/>
      <c r="AL176" s="58"/>
      <c r="AM176" s="58"/>
      <c r="AN176" s="58"/>
      <c r="AO176" s="58"/>
      <c r="AP176" s="58"/>
      <c r="AQ176" s="58"/>
      <c r="AR176" s="58"/>
      <c r="AS176" s="58"/>
      <c r="AT176" s="58"/>
      <c r="AU176" s="58"/>
      <c r="AV176" s="58"/>
      <c r="AW176" s="58"/>
      <c r="AX176" s="58"/>
      <c r="AY176" s="58"/>
      <c r="AZ176" s="58"/>
      <c r="BA176" s="58"/>
      <c r="BB176" s="58"/>
      <c r="BC176" s="58"/>
      <c r="BD176" s="58"/>
      <c r="BE176" s="58"/>
      <c r="BF176" s="58"/>
      <c r="BG176" s="58"/>
      <c r="BH176" s="58"/>
      <c r="BI176" s="58"/>
    </row>
    <row r="177" spans="1:61" ht="15" customHeight="1" x14ac:dyDescent="0.25">
      <c r="A177" s="58"/>
      <c r="B177" s="356"/>
      <c r="C177" s="356"/>
      <c r="D177" s="357"/>
      <c r="E177" s="369"/>
      <c r="F177" s="370"/>
      <c r="G177" s="370"/>
      <c r="H177" s="370"/>
      <c r="I177" s="370"/>
      <c r="J177" s="129" t="str">
        <f>IF(AND('Mapa final'!$AB$67="Baja",'Mapa final'!$AD$67="Leve"),CONCATENATE("R22C",'Mapa final'!$R$67),"")</f>
        <v>R22C1</v>
      </c>
      <c r="K177" s="56" t="str">
        <f>IF(AND('Mapa final'!$AB$68="Baja",'Mapa final'!$AD$68="Leve"),CONCATENATE("R22C",'Mapa final'!$R$68),"")</f>
        <v/>
      </c>
      <c r="L177" s="130" t="str">
        <f>IF(AND('Mapa final'!$AB$69="Baja",'Mapa final'!$AD$69="Leve"),CONCATENATE("R22C",'Mapa final'!$R$69),"")</f>
        <v/>
      </c>
      <c r="M177" s="51" t="str">
        <f>IF(AND('Mapa final'!$AB$67="Baja",'Mapa final'!$AD$67="Menor"),CONCATENATE("R22C",'Mapa final'!$R$67),"")</f>
        <v/>
      </c>
      <c r="N177" s="52" t="str">
        <f>IF(AND('Mapa final'!$AB$68="Baja",'Mapa final'!$AD$68="Menor"),CONCATENATE("R22C",'Mapa final'!$R$68),"")</f>
        <v/>
      </c>
      <c r="O177" s="125" t="str">
        <f>IF(AND('Mapa final'!$AB$69="Baja",'Mapa final'!$AD$69="Menor"),CONCATENATE("R22C",'Mapa final'!$R$69),"")</f>
        <v/>
      </c>
      <c r="P177" s="51" t="str">
        <f>IF(AND('Mapa final'!$AB$67="Baja",'Mapa final'!$AD$67="Moderado"),CONCATENATE("R22C",'Mapa final'!$R$67),"")</f>
        <v/>
      </c>
      <c r="Q177" s="52" t="str">
        <f>IF(AND('Mapa final'!$AB$68="Baja",'Mapa final'!$AD$68="Moderado"),CONCATENATE("R22C",'Mapa final'!$R$68),"")</f>
        <v/>
      </c>
      <c r="R177" s="125" t="str">
        <f>IF(AND('Mapa final'!$AB$69="Baja",'Mapa final'!$AD$69="Moderado"),CONCATENATE("R22C",'Mapa final'!$R$69),"")</f>
        <v/>
      </c>
      <c r="S177" s="119" t="str">
        <f>IF(AND('Mapa final'!$AB$67="Baja",'Mapa final'!$AD$67="Mayor"),CONCATENATE("R22C",'Mapa final'!$R$67),"")</f>
        <v/>
      </c>
      <c r="T177" s="44" t="str">
        <f>IF(AND('Mapa final'!$AB$68="Baja",'Mapa final'!$AD$68="Mayor"),CONCATENATE("R22C",'Mapa final'!$R$68),"")</f>
        <v/>
      </c>
      <c r="U177" s="120" t="str">
        <f>IF(AND('Mapa final'!$AB$69="Baja",'Mapa final'!$AD$69="Mayor"),CONCATENATE("R22C",'Mapa final'!$R$69),"")</f>
        <v/>
      </c>
      <c r="V177" s="45" t="str">
        <f>IF(AND('Mapa final'!$AB$67="Baja",'Mapa final'!$AD$67="Catastrófico"),CONCATENATE("R22C",'Mapa final'!$R$67),"")</f>
        <v/>
      </c>
      <c r="W177" s="46" t="str">
        <f>IF(AND('Mapa final'!$AB$68="Baja",'Mapa final'!$AD$68="Catastrófico"),CONCATENATE("R22C",'Mapa final'!$R$68),"")</f>
        <v/>
      </c>
      <c r="X177" s="114" t="str">
        <f>IF(AND('Mapa final'!$AB$69="Baja",'Mapa final'!$AD$69="Catastrófico"),CONCATENATE("R22C",'Mapa final'!$R$69),"")</f>
        <v/>
      </c>
      <c r="Y177" s="58"/>
      <c r="Z177" s="389"/>
      <c r="AA177" s="390"/>
      <c r="AB177" s="390"/>
      <c r="AC177" s="390"/>
      <c r="AD177" s="390"/>
      <c r="AE177" s="391"/>
      <c r="AF177" s="58"/>
      <c r="AG177" s="58"/>
      <c r="AH177" s="58"/>
      <c r="AI177" s="58"/>
      <c r="AJ177" s="58"/>
      <c r="AK177" s="58"/>
      <c r="AL177" s="58"/>
      <c r="AM177" s="58"/>
      <c r="AN177" s="58"/>
      <c r="AO177" s="58"/>
      <c r="AP177" s="58"/>
      <c r="AQ177" s="58"/>
      <c r="AR177" s="58"/>
      <c r="AS177" s="58"/>
      <c r="AT177" s="58"/>
      <c r="AU177" s="58"/>
      <c r="AV177" s="58"/>
      <c r="AW177" s="58"/>
      <c r="AX177" s="58"/>
      <c r="AY177" s="58"/>
      <c r="AZ177" s="58"/>
      <c r="BA177" s="58"/>
      <c r="BB177" s="58"/>
      <c r="BC177" s="58"/>
      <c r="BD177" s="58"/>
      <c r="BE177" s="58"/>
      <c r="BF177" s="58"/>
      <c r="BG177" s="58"/>
      <c r="BH177" s="58"/>
      <c r="BI177" s="58"/>
    </row>
    <row r="178" spans="1:61" ht="15" customHeight="1" x14ac:dyDescent="0.25">
      <c r="A178" s="58"/>
      <c r="B178" s="356"/>
      <c r="C178" s="356"/>
      <c r="D178" s="357"/>
      <c r="E178" s="369"/>
      <c r="F178" s="370"/>
      <c r="G178" s="370"/>
      <c r="H178" s="370"/>
      <c r="I178" s="370"/>
      <c r="J178" s="129" t="str">
        <f>IF(AND('Mapa final'!$AB$70="Baja",'Mapa final'!$AD$70="Leve"),CONCATENATE("R23C",'Mapa final'!$R$70),"")</f>
        <v/>
      </c>
      <c r="K178" s="56" t="str">
        <f>IF(AND('Mapa final'!$AB$71="Baja",'Mapa final'!$AD$71="Leve"),CONCATENATE("R23C",'Mapa final'!$R$71),"")</f>
        <v/>
      </c>
      <c r="L178" s="130" t="str">
        <f>IF(AND('Mapa final'!$AB$72="Baja",'Mapa final'!$AD$72="Leve"),CONCATENATE("R23C",'Mapa final'!$R$72),"")</f>
        <v/>
      </c>
      <c r="M178" s="51" t="str">
        <f>IF(AND('Mapa final'!$AB$70="Baja",'Mapa final'!$AD$70="Menor"),CONCATENATE("R23C",'Mapa final'!$R$70),"")</f>
        <v>R23C1</v>
      </c>
      <c r="N178" s="52" t="str">
        <f>IF(AND('Mapa final'!$AB$71="Baja",'Mapa final'!$AD$71="Menor"),CONCATENATE("R23C",'Mapa final'!$R$71),"")</f>
        <v/>
      </c>
      <c r="O178" s="125" t="str">
        <f>IF(AND('Mapa final'!$AB$72="Baja",'Mapa final'!$AD$72="Menor"),CONCATENATE("R23C",'Mapa final'!$R$72),"")</f>
        <v/>
      </c>
      <c r="P178" s="51" t="str">
        <f>IF(AND('Mapa final'!$AB$70="Baja",'Mapa final'!$AD$70="Moderado"),CONCATENATE("R23C",'Mapa final'!$R$70),"")</f>
        <v/>
      </c>
      <c r="Q178" s="52" t="str">
        <f>IF(AND('Mapa final'!$AB$71="Baja",'Mapa final'!$AD$71="Moderado"),CONCATENATE("R23C",'Mapa final'!$R$71),"")</f>
        <v/>
      </c>
      <c r="R178" s="125" t="str">
        <f>IF(AND('Mapa final'!$AB$72="Baja",'Mapa final'!$AD$72="Moderado"),CONCATENATE("R23C",'Mapa final'!$R$72),"")</f>
        <v/>
      </c>
      <c r="S178" s="119" t="str">
        <f>IF(AND('Mapa final'!$AB$70="Baja",'Mapa final'!$AD$70="Mayor"),CONCATENATE("R23C",'Mapa final'!$R$70),"")</f>
        <v/>
      </c>
      <c r="T178" s="44" t="str">
        <f>IF(AND('Mapa final'!$AB$71="Baja",'Mapa final'!$AD$71="Mayor"),CONCATENATE("R23C",'Mapa final'!$R$71),"")</f>
        <v/>
      </c>
      <c r="U178" s="120" t="str">
        <f>IF(AND('Mapa final'!$AB$72="Baja",'Mapa final'!$AD$72="Mayor"),CONCATENATE("R23C",'Mapa final'!$R$72),"")</f>
        <v/>
      </c>
      <c r="V178" s="45" t="str">
        <f>IF(AND('Mapa final'!$AB$70="Baja",'Mapa final'!$AD$70="Catastrófico"),CONCATENATE("R23C",'Mapa final'!$R$70),"")</f>
        <v/>
      </c>
      <c r="W178" s="46" t="str">
        <f>IF(AND('Mapa final'!$AB$71="Baja",'Mapa final'!$AD$71="Catastrófico"),CONCATENATE("R23C",'Mapa final'!$R$71),"")</f>
        <v/>
      </c>
      <c r="X178" s="114" t="str">
        <f>IF(AND('Mapa final'!$AB$72="Baja",'Mapa final'!$AD$72="Catastrófico"),CONCATENATE("R23C",'Mapa final'!$R$72),"")</f>
        <v/>
      </c>
      <c r="Y178" s="58"/>
      <c r="Z178" s="389"/>
      <c r="AA178" s="390"/>
      <c r="AB178" s="390"/>
      <c r="AC178" s="390"/>
      <c r="AD178" s="390"/>
      <c r="AE178" s="391"/>
      <c r="AF178" s="58"/>
      <c r="AG178" s="58"/>
      <c r="AH178" s="58"/>
      <c r="AI178" s="58"/>
      <c r="AJ178" s="58"/>
      <c r="AK178" s="58"/>
      <c r="AL178" s="58"/>
      <c r="AM178" s="58"/>
      <c r="AN178" s="58"/>
      <c r="AO178" s="58"/>
      <c r="AP178" s="58"/>
      <c r="AQ178" s="58"/>
      <c r="AR178" s="58"/>
      <c r="AS178" s="58"/>
      <c r="AT178" s="58"/>
      <c r="AU178" s="58"/>
      <c r="AV178" s="58"/>
      <c r="AW178" s="58"/>
      <c r="AX178" s="58"/>
      <c r="AY178" s="58"/>
      <c r="AZ178" s="58"/>
      <c r="BA178" s="58"/>
      <c r="BB178" s="58"/>
      <c r="BC178" s="58"/>
      <c r="BD178" s="58"/>
      <c r="BE178" s="58"/>
      <c r="BF178" s="58"/>
      <c r="BG178" s="58"/>
      <c r="BH178" s="58"/>
      <c r="BI178" s="58"/>
    </row>
    <row r="179" spans="1:61" ht="15" customHeight="1" x14ac:dyDescent="0.25">
      <c r="A179" s="58"/>
      <c r="B179" s="356"/>
      <c r="C179" s="356"/>
      <c r="D179" s="357"/>
      <c r="E179" s="369"/>
      <c r="F179" s="370"/>
      <c r="G179" s="370"/>
      <c r="H179" s="370"/>
      <c r="I179" s="370"/>
      <c r="J179" s="129" t="str">
        <f>IF(AND('Mapa final'!$AB$73="Baja",'Mapa final'!$AD$73="Leve"),CONCATENATE("R24C",'Mapa final'!$R$73),"")</f>
        <v/>
      </c>
      <c r="K179" s="56" t="str">
        <f>IF(AND('Mapa final'!$AB$74="Baja",'Mapa final'!$AD$74="Leve"),CONCATENATE("R24C",'Mapa final'!$R$74),"")</f>
        <v/>
      </c>
      <c r="L179" s="130" t="str">
        <f>IF(AND('Mapa final'!$AB$75="Baja",'Mapa final'!$AD$75="Leve"),CONCATENATE("R24C",'Mapa final'!$R$75),"")</f>
        <v/>
      </c>
      <c r="M179" s="51" t="str">
        <f>IF(AND('Mapa final'!$AB$73="Baja",'Mapa final'!$AD$73="Menor"),CONCATENATE("R24C",'Mapa final'!$R$73),"")</f>
        <v/>
      </c>
      <c r="N179" s="52" t="str">
        <f>IF(AND('Mapa final'!$AB$74="Baja",'Mapa final'!$AD$74="Menor"),CONCATENATE("R24C",'Mapa final'!$R$74),"")</f>
        <v/>
      </c>
      <c r="O179" s="125" t="str">
        <f>IF(AND('Mapa final'!$AB$75="Baja",'Mapa final'!$AD$75="Menor"),CONCATENATE("R24C",'Mapa final'!$R$75),"")</f>
        <v/>
      </c>
      <c r="P179" s="51" t="str">
        <f>IF(AND('Mapa final'!$AB$73="Baja",'Mapa final'!$AD$73="Moderado"),CONCATENATE("R24C",'Mapa final'!$R$73),"")</f>
        <v/>
      </c>
      <c r="Q179" s="52" t="str">
        <f>IF(AND('Mapa final'!$AB$74="Baja",'Mapa final'!$AD$74="Moderado"),CONCATENATE("R24C",'Mapa final'!$R$74),"")</f>
        <v/>
      </c>
      <c r="R179" s="125" t="str">
        <f>IF(AND('Mapa final'!$AB$75="Baja",'Mapa final'!$AD$75="Moderado"),CONCATENATE("R24C",'Mapa final'!$R$75),"")</f>
        <v/>
      </c>
      <c r="S179" s="119" t="str">
        <f>IF(AND('Mapa final'!$AB$73="Baja",'Mapa final'!$AD$73="Mayor"),CONCATENATE("R24C",'Mapa final'!$R$73),"")</f>
        <v>R24C1</v>
      </c>
      <c r="T179" s="44" t="str">
        <f>IF(AND('Mapa final'!$AB$74="Baja",'Mapa final'!$AD$74="Mayor"),CONCATENATE("R24C",'Mapa final'!$R$74),"")</f>
        <v/>
      </c>
      <c r="U179" s="120" t="str">
        <f>IF(AND('Mapa final'!$AB$75="Baja",'Mapa final'!$AD$75="Mayor"),CONCATENATE("R24C",'Mapa final'!$R$75),"")</f>
        <v/>
      </c>
      <c r="V179" s="45" t="str">
        <f>IF(AND('Mapa final'!$AB$73="Baja",'Mapa final'!$AD$73="Catastrófico"),CONCATENATE("R24C",'Mapa final'!$R$73),"")</f>
        <v/>
      </c>
      <c r="W179" s="46" t="str">
        <f>IF(AND('Mapa final'!$AB$74="Baja",'Mapa final'!$AD$74="Catastrófico"),CONCATENATE("R24C",'Mapa final'!$R$74),"")</f>
        <v/>
      </c>
      <c r="X179" s="114" t="str">
        <f>IF(AND('Mapa final'!$AB$75="Baja",'Mapa final'!$AD$75="Catastrófico"),CONCATENATE("R24C",'Mapa final'!$R$75),"")</f>
        <v/>
      </c>
      <c r="Y179" s="58"/>
      <c r="Z179" s="389"/>
      <c r="AA179" s="390"/>
      <c r="AB179" s="390"/>
      <c r="AC179" s="390"/>
      <c r="AD179" s="390"/>
      <c r="AE179" s="391"/>
      <c r="AF179" s="58"/>
      <c r="AG179" s="58"/>
      <c r="AH179" s="58"/>
      <c r="AI179" s="58"/>
      <c r="AJ179" s="58"/>
      <c r="AK179" s="58"/>
      <c r="AL179" s="58"/>
      <c r="AM179" s="58"/>
      <c r="AN179" s="58"/>
      <c r="AO179" s="58"/>
      <c r="AP179" s="58"/>
      <c r="AQ179" s="58"/>
      <c r="AR179" s="58"/>
      <c r="AS179" s="58"/>
      <c r="AT179" s="58"/>
      <c r="AU179" s="58"/>
      <c r="AV179" s="58"/>
      <c r="AW179" s="58"/>
      <c r="AX179" s="58"/>
      <c r="AY179" s="58"/>
      <c r="AZ179" s="58"/>
      <c r="BA179" s="58"/>
      <c r="BB179" s="58"/>
      <c r="BC179" s="58"/>
      <c r="BD179" s="58"/>
      <c r="BE179" s="58"/>
      <c r="BF179" s="58"/>
      <c r="BG179" s="58"/>
      <c r="BH179" s="58"/>
      <c r="BI179" s="58"/>
    </row>
    <row r="180" spans="1:61" ht="15" customHeight="1" x14ac:dyDescent="0.25">
      <c r="A180" s="58"/>
      <c r="B180" s="356"/>
      <c r="C180" s="356"/>
      <c r="D180" s="357"/>
      <c r="E180" s="369"/>
      <c r="F180" s="370"/>
      <c r="G180" s="370"/>
      <c r="H180" s="370"/>
      <c r="I180" s="370"/>
      <c r="J180" s="129" t="str">
        <f>IF(AND('Mapa final'!$AB$76="Baja",'Mapa final'!$AD$76="Leve"),CONCATENATE("R25C",'Mapa final'!$R$76),"")</f>
        <v/>
      </c>
      <c r="K180" s="56" t="str">
        <f>IF(AND('Mapa final'!$AB$77="Baja",'Mapa final'!$AD$77="Leve"),CONCATENATE("R25C",'Mapa final'!$R$77),"")</f>
        <v/>
      </c>
      <c r="L180" s="130" t="str">
        <f>IF(AND('Mapa final'!$AB$78="Baja",'Mapa final'!$AD$78="Leve"),CONCATENATE("R25C",'Mapa final'!$R$78),"")</f>
        <v/>
      </c>
      <c r="M180" s="51" t="str">
        <f>IF(AND('Mapa final'!$AB$76="Baja",'Mapa final'!$AD$76="Menor"),CONCATENATE("R25C",'Mapa final'!$R$76),"")</f>
        <v/>
      </c>
      <c r="N180" s="52" t="str">
        <f>IF(AND('Mapa final'!$AB$77="Baja",'Mapa final'!$AD$77="Menor"),CONCATENATE("R25C",'Mapa final'!$R$77),"")</f>
        <v/>
      </c>
      <c r="O180" s="125" t="str">
        <f>IF(AND('Mapa final'!$AB$78="Baja",'Mapa final'!$AD$78="Menor"),CONCATENATE("R25C",'Mapa final'!$R$78),"")</f>
        <v/>
      </c>
      <c r="P180" s="51" t="str">
        <f>IF(AND('Mapa final'!$AB$76="Baja",'Mapa final'!$AD$76="Moderado"),CONCATENATE("R25C",'Mapa final'!$R$76),"")</f>
        <v>R25C1</v>
      </c>
      <c r="Q180" s="52" t="str">
        <f>IF(AND('Mapa final'!$AB$77="Baja",'Mapa final'!$AD$77="Moderado"),CONCATENATE("R25C",'Mapa final'!$R$77),"")</f>
        <v/>
      </c>
      <c r="R180" s="125" t="str">
        <f>IF(AND('Mapa final'!$AB$78="Baja",'Mapa final'!$AD$78="Moderado"),CONCATENATE("R25C",'Mapa final'!$R$78),"")</f>
        <v/>
      </c>
      <c r="S180" s="119" t="str">
        <f>IF(AND('Mapa final'!$AB$76="Baja",'Mapa final'!$AD$76="Mayor"),CONCATENATE("R25C",'Mapa final'!$R$76),"")</f>
        <v/>
      </c>
      <c r="T180" s="44" t="str">
        <f>IF(AND('Mapa final'!$AB$77="Baja",'Mapa final'!$AD$77="Mayor"),CONCATENATE("R25C",'Mapa final'!$R$77),"")</f>
        <v/>
      </c>
      <c r="U180" s="120" t="str">
        <f>IF(AND('Mapa final'!$AB$78="Baja",'Mapa final'!$AD$78="Mayor"),CONCATENATE("R25C",'Mapa final'!$R$78),"")</f>
        <v/>
      </c>
      <c r="V180" s="45" t="str">
        <f>IF(AND('Mapa final'!$AB$76="Baja",'Mapa final'!$AD$76="Catastrófico"),CONCATENATE("R25C",'Mapa final'!$R$76),"")</f>
        <v/>
      </c>
      <c r="W180" s="46" t="str">
        <f>IF(AND('Mapa final'!$AB$77="Baja",'Mapa final'!$AD$77="Catastrófico"),CONCATENATE("R25C",'Mapa final'!$R$77),"")</f>
        <v/>
      </c>
      <c r="X180" s="114" t="str">
        <f>IF(AND('Mapa final'!$AB$78="Baja",'Mapa final'!$AD$78="Catastrófico"),CONCATENATE("R25C",'Mapa final'!$R$78),"")</f>
        <v/>
      </c>
      <c r="Y180" s="58"/>
      <c r="Z180" s="389"/>
      <c r="AA180" s="390"/>
      <c r="AB180" s="390"/>
      <c r="AC180" s="390"/>
      <c r="AD180" s="390"/>
      <c r="AE180" s="391"/>
      <c r="AF180" s="58"/>
      <c r="AG180" s="58"/>
      <c r="AH180" s="58"/>
      <c r="AI180" s="58"/>
      <c r="AJ180" s="58"/>
      <c r="AK180" s="58"/>
      <c r="AL180" s="58"/>
      <c r="AM180" s="58"/>
      <c r="AN180" s="58"/>
      <c r="AO180" s="58"/>
      <c r="AP180" s="58"/>
      <c r="AQ180" s="58"/>
      <c r="AR180" s="58"/>
      <c r="AS180" s="58"/>
      <c r="AT180" s="58"/>
      <c r="AU180" s="58"/>
      <c r="AV180" s="58"/>
      <c r="AW180" s="58"/>
      <c r="AX180" s="58"/>
      <c r="AY180" s="58"/>
      <c r="AZ180" s="58"/>
      <c r="BA180" s="58"/>
      <c r="BB180" s="58"/>
      <c r="BC180" s="58"/>
      <c r="BD180" s="58"/>
      <c r="BE180" s="58"/>
      <c r="BF180" s="58"/>
      <c r="BG180" s="58"/>
      <c r="BH180" s="58"/>
      <c r="BI180" s="58"/>
    </row>
    <row r="181" spans="1:61" ht="15" customHeight="1" x14ac:dyDescent="0.25">
      <c r="A181" s="58"/>
      <c r="B181" s="356"/>
      <c r="C181" s="356"/>
      <c r="D181" s="357"/>
      <c r="E181" s="369"/>
      <c r="F181" s="370"/>
      <c r="G181" s="370"/>
      <c r="H181" s="370"/>
      <c r="I181" s="370"/>
      <c r="J181" s="129" t="str">
        <f>IF(AND('Mapa final'!$AB$79="Baja",'Mapa final'!$AD$79="Leve"),CONCATENATE("R26C",'Mapa final'!$R$79),"")</f>
        <v/>
      </c>
      <c r="K181" s="56" t="str">
        <f>IF(AND('Mapa final'!$AB$80="Baja",'Mapa final'!$AD$80="Leve"),CONCATENATE("R26C",'Mapa final'!$R$80),"")</f>
        <v/>
      </c>
      <c r="L181" s="130" t="str">
        <f>IF(AND('Mapa final'!$AB$81="Baja",'Mapa final'!$AD$81="Leve"),CONCATENATE("R26C",'Mapa final'!$R$81),"")</f>
        <v/>
      </c>
      <c r="M181" s="51" t="str">
        <f>IF(AND('Mapa final'!$AB$79="Baja",'Mapa final'!$AD$79="Menor"),CONCATENATE("R26C",'Mapa final'!$R$79),"")</f>
        <v/>
      </c>
      <c r="N181" s="52" t="str">
        <f>IF(AND('Mapa final'!$AB$80="Baja",'Mapa final'!$AD$80="Menor"),CONCATENATE("R26C",'Mapa final'!$R$80),"")</f>
        <v/>
      </c>
      <c r="O181" s="125" t="str">
        <f>IF(AND('Mapa final'!$AB$81="Baja",'Mapa final'!$AD$81="Menor"),CONCATENATE("R26C",'Mapa final'!$R$81),"")</f>
        <v/>
      </c>
      <c r="P181" s="51" t="str">
        <f>IF(AND('Mapa final'!$AB$79="Baja",'Mapa final'!$AD$79="Moderado"),CONCATENATE("R26C",'Mapa final'!$R$79),"")</f>
        <v>R26C1</v>
      </c>
      <c r="Q181" s="52" t="str">
        <f>IF(AND('Mapa final'!$AB$80="Baja",'Mapa final'!$AD$80="Moderado"),CONCATENATE("R26C",'Mapa final'!$R$80),"")</f>
        <v/>
      </c>
      <c r="R181" s="125" t="str">
        <f>IF(AND('Mapa final'!$AB$81="Baja",'Mapa final'!$AD$81="Moderado"),CONCATENATE("R26C",'Mapa final'!$R$81),"")</f>
        <v/>
      </c>
      <c r="S181" s="119" t="str">
        <f>IF(AND('Mapa final'!$AB$79="Baja",'Mapa final'!$AD$79="Mayor"),CONCATENATE("R26C",'Mapa final'!$R$79),"")</f>
        <v/>
      </c>
      <c r="T181" s="44" t="str">
        <f>IF(AND('Mapa final'!$AB$80="Baja",'Mapa final'!$AD$80="Mayor"),CONCATENATE("R26C",'Mapa final'!$R$80),"")</f>
        <v/>
      </c>
      <c r="U181" s="120" t="str">
        <f>IF(AND('Mapa final'!$AB$81="Baja",'Mapa final'!$AD$81="Mayor"),CONCATENATE("R26C",'Mapa final'!$R$81),"")</f>
        <v/>
      </c>
      <c r="V181" s="45" t="str">
        <f>IF(AND('Mapa final'!$AB$79="Baja",'Mapa final'!$AD$79="Catastrófico"),CONCATENATE("R26C",'Mapa final'!$R$79),"")</f>
        <v/>
      </c>
      <c r="W181" s="46" t="str">
        <f>IF(AND('Mapa final'!$AB$80="Baja",'Mapa final'!$AD$80="Catastrófico"),CONCATENATE("R26C",'Mapa final'!$R$80),"")</f>
        <v/>
      </c>
      <c r="X181" s="114" t="str">
        <f>IF(AND('Mapa final'!$AB$81="Baja",'Mapa final'!$AD$81="Catastrófico"),CONCATENATE("R26C",'Mapa final'!$R$81),"")</f>
        <v/>
      </c>
      <c r="Y181" s="58"/>
      <c r="Z181" s="389"/>
      <c r="AA181" s="390"/>
      <c r="AB181" s="390"/>
      <c r="AC181" s="390"/>
      <c r="AD181" s="390"/>
      <c r="AE181" s="391"/>
      <c r="AF181" s="58"/>
      <c r="AG181" s="58"/>
      <c r="AH181" s="58"/>
      <c r="AI181" s="58"/>
      <c r="AJ181" s="58"/>
      <c r="AK181" s="58"/>
      <c r="AL181" s="58"/>
      <c r="AM181" s="58"/>
      <c r="AN181" s="58"/>
      <c r="AO181" s="58"/>
      <c r="AP181" s="58"/>
      <c r="AQ181" s="58"/>
      <c r="AR181" s="58"/>
      <c r="AS181" s="58"/>
      <c r="AT181" s="58"/>
      <c r="AU181" s="58"/>
      <c r="AV181" s="58"/>
      <c r="AW181" s="58"/>
      <c r="AX181" s="58"/>
      <c r="AY181" s="58"/>
      <c r="AZ181" s="58"/>
      <c r="BA181" s="58"/>
      <c r="BB181" s="58"/>
      <c r="BC181" s="58"/>
      <c r="BD181" s="58"/>
      <c r="BE181" s="58"/>
      <c r="BF181" s="58"/>
      <c r="BG181" s="58"/>
      <c r="BH181" s="58"/>
      <c r="BI181" s="58"/>
    </row>
    <row r="182" spans="1:61" ht="15" customHeight="1" x14ac:dyDescent="0.25">
      <c r="A182" s="58"/>
      <c r="B182" s="356"/>
      <c r="C182" s="356"/>
      <c r="D182" s="357"/>
      <c r="E182" s="369"/>
      <c r="F182" s="370"/>
      <c r="G182" s="370"/>
      <c r="H182" s="370"/>
      <c r="I182" s="370"/>
      <c r="J182" s="129" t="str">
        <f>IF(AND('Mapa final'!$AB$82="Baja",'Mapa final'!$AD$82="Leve"),CONCATENATE("R27C",'Mapa final'!$R$82),"")</f>
        <v/>
      </c>
      <c r="K182" s="56" t="str">
        <f>IF(AND('Mapa final'!$AB$83="Baja",'Mapa final'!$AD$83="Leve"),CONCATENATE("R27C",'Mapa final'!$R$83),"")</f>
        <v/>
      </c>
      <c r="L182" s="130" t="str">
        <f>IF(AND('Mapa final'!$AB$84="Baja",'Mapa final'!$AD$84="Leve"),CONCATENATE("R27C",'Mapa final'!$R$84),"")</f>
        <v/>
      </c>
      <c r="M182" s="51" t="str">
        <f>IF(AND('Mapa final'!$AB$82="Baja",'Mapa final'!$AD$82="Menor"),CONCATENATE("R27C",'Mapa final'!$R$82),"")</f>
        <v/>
      </c>
      <c r="N182" s="52" t="str">
        <f>IF(AND('Mapa final'!$AB$83="Baja",'Mapa final'!$AD$83="Menor"),CONCATENATE("R27C",'Mapa final'!$R$83),"")</f>
        <v/>
      </c>
      <c r="O182" s="125" t="str">
        <f>IF(AND('Mapa final'!$AB$84="Baja",'Mapa final'!$AD$84="Menor"),CONCATENATE("R27C",'Mapa final'!$R$84),"")</f>
        <v/>
      </c>
      <c r="P182" s="51" t="str">
        <f>IF(AND('Mapa final'!$AB$82="Baja",'Mapa final'!$AD$82="Moderado"),CONCATENATE("R27C",'Mapa final'!$R$82),"")</f>
        <v/>
      </c>
      <c r="Q182" s="52" t="str">
        <f>IF(AND('Mapa final'!$AB$83="Baja",'Mapa final'!$AD$83="Moderado"),CONCATENATE("R27C",'Mapa final'!$R$83),"")</f>
        <v/>
      </c>
      <c r="R182" s="125" t="str">
        <f>IF(AND('Mapa final'!$AB$84="Baja",'Mapa final'!$AD$84="Moderado"),CONCATENATE("R27C",'Mapa final'!$R$84),"")</f>
        <v/>
      </c>
      <c r="S182" s="119" t="str">
        <f>IF(AND('Mapa final'!$AB$82="Baja",'Mapa final'!$AD$82="Mayor"),CONCATENATE("R27C",'Mapa final'!$R$82),"")</f>
        <v>R27C1</v>
      </c>
      <c r="T182" s="44" t="str">
        <f>IF(AND('Mapa final'!$AB$83="Baja",'Mapa final'!$AD$83="Mayor"),CONCATENATE("R27C",'Mapa final'!$R$83),"")</f>
        <v/>
      </c>
      <c r="U182" s="120" t="str">
        <f>IF(AND('Mapa final'!$AB$84="Baja",'Mapa final'!$AD$84="Mayor"),CONCATENATE("R27C",'Mapa final'!$R$84),"")</f>
        <v/>
      </c>
      <c r="V182" s="45" t="str">
        <f>IF(AND('Mapa final'!$AB$82="Baja",'Mapa final'!$AD$82="Catastrófico"),CONCATENATE("R27C",'Mapa final'!$R$82),"")</f>
        <v/>
      </c>
      <c r="W182" s="46" t="str">
        <f>IF(AND('Mapa final'!$AB$83="Baja",'Mapa final'!$AD$83="Catastrófico"),CONCATENATE("R27C",'Mapa final'!$R$83),"")</f>
        <v/>
      </c>
      <c r="X182" s="114" t="str">
        <f>IF(AND('Mapa final'!$AB$84="Baja",'Mapa final'!$AD$84="Catastrófico"),CONCATENATE("R27C",'Mapa final'!$R$84),"")</f>
        <v/>
      </c>
      <c r="Y182" s="58"/>
      <c r="Z182" s="389"/>
      <c r="AA182" s="390"/>
      <c r="AB182" s="390"/>
      <c r="AC182" s="390"/>
      <c r="AD182" s="390"/>
      <c r="AE182" s="391"/>
      <c r="AF182" s="58"/>
      <c r="AG182" s="58"/>
      <c r="AH182" s="58"/>
      <c r="AI182" s="58"/>
      <c r="AJ182" s="58"/>
      <c r="AK182" s="58"/>
      <c r="AL182" s="58"/>
      <c r="AM182" s="58"/>
      <c r="AN182" s="58"/>
      <c r="AO182" s="58"/>
      <c r="AP182" s="58"/>
      <c r="AQ182" s="58"/>
      <c r="AR182" s="58"/>
      <c r="AS182" s="58"/>
      <c r="AT182" s="58"/>
      <c r="AU182" s="58"/>
      <c r="AV182" s="58"/>
      <c r="AW182" s="58"/>
      <c r="AX182" s="58"/>
      <c r="AY182" s="58"/>
      <c r="AZ182" s="58"/>
      <c r="BA182" s="58"/>
      <c r="BB182" s="58"/>
      <c r="BC182" s="58"/>
      <c r="BD182" s="58"/>
      <c r="BE182" s="58"/>
      <c r="BF182" s="58"/>
      <c r="BG182" s="58"/>
      <c r="BH182" s="58"/>
      <c r="BI182" s="58"/>
    </row>
    <row r="183" spans="1:61" ht="15" customHeight="1" x14ac:dyDescent="0.25">
      <c r="A183" s="58"/>
      <c r="B183" s="356"/>
      <c r="C183" s="356"/>
      <c r="D183" s="357"/>
      <c r="E183" s="371"/>
      <c r="F183" s="372"/>
      <c r="G183" s="372"/>
      <c r="H183" s="372"/>
      <c r="I183" s="370"/>
      <c r="J183" s="129" t="str">
        <f>IF(AND('Mapa final'!$AB$85="Baja",'Mapa final'!$AD$85="Leve"),CONCATENATE("R28C",'Mapa final'!$R$85),"")</f>
        <v/>
      </c>
      <c r="K183" s="56" t="str">
        <f>IF(AND('Mapa final'!$AB$86="Baja",'Mapa final'!$AD$86="Leve"),CONCATENATE("R28C",'Mapa final'!$R$86),"")</f>
        <v/>
      </c>
      <c r="L183" s="130" t="str">
        <f>IF(AND('Mapa final'!$AB$87="Baja",'Mapa final'!$AD$87="Leve"),CONCATENATE("R28C",'Mapa final'!$R$87),"")</f>
        <v/>
      </c>
      <c r="M183" s="51" t="str">
        <f>IF(AND('Mapa final'!$AB$85="Baja",'Mapa final'!$AD$85="Menor"),CONCATENATE("R28C",'Mapa final'!$R$85),"")</f>
        <v/>
      </c>
      <c r="N183" s="52" t="str">
        <f>IF(AND('Mapa final'!$AB$86="Baja",'Mapa final'!$AD$86="Menor"),CONCATENATE("R28C",'Mapa final'!$R$86),"")</f>
        <v/>
      </c>
      <c r="O183" s="125" t="str">
        <f>IF(AND('Mapa final'!$AB$87="Baja",'Mapa final'!$AD$87="Menor"),CONCATENATE("R28C",'Mapa final'!$R$87),"")</f>
        <v/>
      </c>
      <c r="P183" s="51" t="str">
        <f>IF(AND('Mapa final'!$AB$85="Baja",'Mapa final'!$AD$85="Moderado"),CONCATENATE("R28C",'Mapa final'!$R$85),"")</f>
        <v/>
      </c>
      <c r="Q183" s="52" t="str">
        <f>IF(AND('Mapa final'!$AB$86="Baja",'Mapa final'!$AD$86="Moderado"),CONCATENATE("R28C",'Mapa final'!$R$86),"")</f>
        <v/>
      </c>
      <c r="R183" s="125" t="str">
        <f>IF(AND('Mapa final'!$AB$87="Baja",'Mapa final'!$AD$87="Moderado"),CONCATENATE("R28C",'Mapa final'!$R$87),"")</f>
        <v/>
      </c>
      <c r="S183" s="119" t="str">
        <f>IF(AND('Mapa final'!$AB$85="Baja",'Mapa final'!$AD$85="Mayor"),CONCATENATE("R28C",'Mapa final'!$R$85),"")</f>
        <v>R28C1</v>
      </c>
      <c r="T183" s="44" t="str">
        <f>IF(AND('Mapa final'!$AB$86="Baja",'Mapa final'!$AD$86="Mayor"),CONCATENATE("R28C",'Mapa final'!$R$86),"")</f>
        <v/>
      </c>
      <c r="U183" s="120" t="str">
        <f>IF(AND('Mapa final'!$AB$87="Baja",'Mapa final'!$AD$87="Mayor"),CONCATENATE("R28C",'Mapa final'!$R$87),"")</f>
        <v/>
      </c>
      <c r="V183" s="45" t="str">
        <f>IF(AND('Mapa final'!$AB$85="Baja",'Mapa final'!$AD$85="Catastrófico"),CONCATENATE("R28C",'Mapa final'!$R$85),"")</f>
        <v/>
      </c>
      <c r="W183" s="46" t="str">
        <f>IF(AND('Mapa final'!$AB$86="Baja",'Mapa final'!$AD$86="Catastrófico"),CONCATENATE("R28C",'Mapa final'!$R$86),"")</f>
        <v/>
      </c>
      <c r="X183" s="114" t="str">
        <f>IF(AND('Mapa final'!$AB$87="Baja",'Mapa final'!$AD$87="Catastrófico"),CONCATENATE("R28C",'Mapa final'!$R$87),"")</f>
        <v/>
      </c>
      <c r="Y183" s="58"/>
      <c r="Z183" s="389"/>
      <c r="AA183" s="390"/>
      <c r="AB183" s="390"/>
      <c r="AC183" s="390"/>
      <c r="AD183" s="390"/>
      <c r="AE183" s="391"/>
      <c r="AF183" s="58"/>
      <c r="AG183" s="58"/>
      <c r="AH183" s="58"/>
      <c r="AI183" s="58"/>
      <c r="AJ183" s="58"/>
      <c r="AK183" s="58"/>
      <c r="AL183" s="58"/>
      <c r="AM183" s="58"/>
      <c r="AN183" s="58"/>
      <c r="AO183" s="58"/>
      <c r="AP183" s="58"/>
      <c r="AQ183" s="58"/>
      <c r="AR183" s="58"/>
      <c r="AS183" s="58"/>
      <c r="AT183" s="58"/>
      <c r="AU183" s="58"/>
      <c r="AV183" s="58"/>
      <c r="AW183" s="58"/>
      <c r="AX183" s="58"/>
      <c r="AY183" s="58"/>
      <c r="AZ183" s="58"/>
      <c r="BA183" s="58"/>
      <c r="BB183" s="58"/>
      <c r="BC183" s="58"/>
      <c r="BD183" s="58"/>
      <c r="BE183" s="58"/>
      <c r="BF183" s="58"/>
      <c r="BG183" s="58"/>
      <c r="BH183" s="58"/>
      <c r="BI183" s="58"/>
    </row>
    <row r="184" spans="1:61" ht="15" customHeight="1" x14ac:dyDescent="0.25">
      <c r="A184" s="58"/>
      <c r="B184" s="356"/>
      <c r="C184" s="356"/>
      <c r="D184" s="357"/>
      <c r="E184" s="371"/>
      <c r="F184" s="372"/>
      <c r="G184" s="372"/>
      <c r="H184" s="372"/>
      <c r="I184" s="370"/>
      <c r="J184" s="129" t="str">
        <f>IF(AND('Mapa final'!$AB$88="Baja",'Mapa final'!$AD$88="Leve"),CONCATENATE("R29C",'Mapa final'!$R$88),"")</f>
        <v/>
      </c>
      <c r="K184" s="56" t="str">
        <f>IF(AND('Mapa final'!$AB$89="Baja",'Mapa final'!$AD$89="Leve"),CONCATENATE("R29C",'Mapa final'!$R$89),"")</f>
        <v/>
      </c>
      <c r="L184" s="130" t="str">
        <f>IF(AND('Mapa final'!$AB$90="Baja",'Mapa final'!$AD$90="Leve"),CONCATENATE("R30C",'Mapa final'!$R$90),"")</f>
        <v/>
      </c>
      <c r="M184" s="51" t="str">
        <f>IF(AND('Mapa final'!$AB$88="Baja",'Mapa final'!$AD$88="Menor"),CONCATENATE("R29C",'Mapa final'!$R$88),"")</f>
        <v/>
      </c>
      <c r="N184" s="52" t="str">
        <f>IF(AND('Mapa final'!$AB$89="Baja",'Mapa final'!$AD$89="Menor"),CONCATENATE("R29C",'Mapa final'!$R$89),"")</f>
        <v/>
      </c>
      <c r="O184" s="125" t="str">
        <f>IF(AND('Mapa final'!$AB$90="Baja",'Mapa final'!$AD$90="Menor"),CONCATENATE("R30C",'Mapa final'!$R$90),"")</f>
        <v/>
      </c>
      <c r="P184" s="51" t="str">
        <f>IF(AND('Mapa final'!$AB$88="Baja",'Mapa final'!$AD$88="Moderado"),CONCATENATE("R29C",'Mapa final'!$R$88),"")</f>
        <v/>
      </c>
      <c r="Q184" s="52" t="str">
        <f>IF(AND('Mapa final'!$AB$89="Baja",'Mapa final'!$AD$89="Moderado"),CONCATENATE("R29C",'Mapa final'!$R$89),"")</f>
        <v/>
      </c>
      <c r="R184" s="125" t="str">
        <f>IF(AND('Mapa final'!$AB$90="Baja",'Mapa final'!$AD$90="Moderado"),CONCATENATE("R30C",'Mapa final'!$R$90),"")</f>
        <v/>
      </c>
      <c r="S184" s="119" t="str">
        <f>IF(AND('Mapa final'!$AB$88="Baja",'Mapa final'!$AD$88="Mayor"),CONCATENATE("R29C",'Mapa final'!$R$88),"")</f>
        <v>R29C1</v>
      </c>
      <c r="T184" s="44" t="str">
        <f>IF(AND('Mapa final'!$AB$89="Baja",'Mapa final'!$AD$89="Mayor"),CONCATENATE("R29C",'Mapa final'!$R$89),"")</f>
        <v/>
      </c>
      <c r="U184" s="120" t="str">
        <f>IF(AND('Mapa final'!$AB$90="Baja",'Mapa final'!$AD$90="Mayor"),CONCATENATE("R30C",'Mapa final'!$R$90),"")</f>
        <v/>
      </c>
      <c r="V184" s="45" t="str">
        <f>IF(AND('Mapa final'!$AB$88="Baja",'Mapa final'!$AD$88="Catastrófico"),CONCATENATE("R29C",'Mapa final'!$R$88),"")</f>
        <v/>
      </c>
      <c r="W184" s="46" t="str">
        <f>IF(AND('Mapa final'!$AB$89="Baja",'Mapa final'!$AD$89="Catastrófico"),CONCATENATE("R29C",'Mapa final'!$R$89),"")</f>
        <v/>
      </c>
      <c r="X184" s="114" t="str">
        <f>IF(AND('Mapa final'!$AB$90="Baja",'Mapa final'!$AD$90="Catastrófico"),CONCATENATE("R30C",'Mapa final'!$R$90),"")</f>
        <v/>
      </c>
      <c r="Y184" s="58"/>
      <c r="Z184" s="389"/>
      <c r="AA184" s="390"/>
      <c r="AB184" s="390"/>
      <c r="AC184" s="390"/>
      <c r="AD184" s="390"/>
      <c r="AE184" s="391"/>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c r="BD184" s="58"/>
      <c r="BE184" s="58"/>
      <c r="BF184" s="58"/>
      <c r="BG184" s="58"/>
      <c r="BH184" s="58"/>
      <c r="BI184" s="58"/>
    </row>
    <row r="185" spans="1:61" ht="15" customHeight="1" x14ac:dyDescent="0.25">
      <c r="A185" s="58"/>
      <c r="B185" s="356"/>
      <c r="C185" s="356"/>
      <c r="D185" s="357"/>
      <c r="E185" s="371"/>
      <c r="F185" s="372"/>
      <c r="G185" s="372"/>
      <c r="H185" s="372"/>
      <c r="I185" s="370"/>
      <c r="J185" s="129" t="str">
        <f>IF(AND('Mapa final'!$AB$91="Baja",'Mapa final'!$AD$91="Leve"),CONCATENATE("R30C",'Mapa final'!$R$91),"")</f>
        <v/>
      </c>
      <c r="K185" s="56" t="str">
        <f>IF(AND('Mapa final'!$AB$92="Baja",'Mapa final'!$AD$92="Leve"),CONCATENATE("R30C",'Mapa final'!$R$92),"")</f>
        <v/>
      </c>
      <c r="L185" s="130" t="str">
        <f>IF(AND('Mapa final'!$AB$93="Baja",'Mapa final'!$AD$93="Leve"),CONCATENATE("R31C",'Mapa final'!$R$93),"")</f>
        <v/>
      </c>
      <c r="M185" s="51" t="str">
        <f>IF(AND('Mapa final'!$AB$91="Baja",'Mapa final'!$AD$91="Menor"),CONCATENATE("R30C",'Mapa final'!$R$91),"")</f>
        <v/>
      </c>
      <c r="N185" s="52" t="str">
        <f>IF(AND('Mapa final'!$AB$92="Baja",'Mapa final'!$AD$92="Menor"),CONCATENATE("R30C",'Mapa final'!$R$92),"")</f>
        <v/>
      </c>
      <c r="O185" s="125" t="str">
        <f>IF(AND('Mapa final'!$AB$93="Baja",'Mapa final'!$AD$93="Menor"),CONCATENATE("R31C",'Mapa final'!$R$93),"")</f>
        <v/>
      </c>
      <c r="P185" s="51" t="str">
        <f>IF(AND('Mapa final'!$AB$91="Baja",'Mapa final'!$AD$91="Moderado"),CONCATENATE("R30C",'Mapa final'!$R$91),"")</f>
        <v/>
      </c>
      <c r="Q185" s="52" t="str">
        <f>IF(AND('Mapa final'!$AB$92="Baja",'Mapa final'!$AD$92="Moderado"),CONCATENATE("R30C",'Mapa final'!$R$92),"")</f>
        <v/>
      </c>
      <c r="R185" s="125" t="str">
        <f>IF(AND('Mapa final'!$AB$93="Baja",'Mapa final'!$AD$93="Moderado"),CONCATENATE("R31C",'Mapa final'!$R$93),"")</f>
        <v/>
      </c>
      <c r="S185" s="119" t="str">
        <f>IF(AND('Mapa final'!$AB$91="Baja",'Mapa final'!$AD$91="Mayor"),CONCATENATE("R30C",'Mapa final'!$R$91),"")</f>
        <v/>
      </c>
      <c r="T185" s="44" t="str">
        <f>IF(AND('Mapa final'!$AB$92="Baja",'Mapa final'!$AD$92="Mayor"),CONCATENATE("R30C",'Mapa final'!$R$92),"")</f>
        <v/>
      </c>
      <c r="U185" s="120" t="str">
        <f>IF(AND('Mapa final'!$AB$93="Baja",'Mapa final'!$AD$93="Mayor"),CONCATENATE("R31C",'Mapa final'!$R$93),"")</f>
        <v/>
      </c>
      <c r="V185" s="45" t="str">
        <f>IF(AND('Mapa final'!$AB$91="Baja",'Mapa final'!$AD$91="Catastrófico"),CONCATENATE("R30C",'Mapa final'!$R$91),"")</f>
        <v/>
      </c>
      <c r="W185" s="46" t="str">
        <f>IF(AND('Mapa final'!$AB$92="Baja",'Mapa final'!$AD$92="Catastrófico"),CONCATENATE("R30C",'Mapa final'!$R$92),"")</f>
        <v/>
      </c>
      <c r="X185" s="114" t="str">
        <f>IF(AND('Mapa final'!$AB$93="Baja",'Mapa final'!$AD$93="Catastrófico"),CONCATENATE("R31C",'Mapa final'!$R$93),"")</f>
        <v/>
      </c>
      <c r="Y185" s="58"/>
      <c r="Z185" s="389"/>
      <c r="AA185" s="390"/>
      <c r="AB185" s="390"/>
      <c r="AC185" s="390"/>
      <c r="AD185" s="390"/>
      <c r="AE185" s="391"/>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c r="BD185" s="58"/>
      <c r="BE185" s="58"/>
      <c r="BF185" s="58"/>
      <c r="BG185" s="58"/>
      <c r="BH185" s="58"/>
      <c r="BI185" s="58"/>
    </row>
    <row r="186" spans="1:61" ht="15" customHeight="1" x14ac:dyDescent="0.25">
      <c r="A186" s="58"/>
      <c r="B186" s="356"/>
      <c r="C186" s="356"/>
      <c r="D186" s="357"/>
      <c r="E186" s="371"/>
      <c r="F186" s="372"/>
      <c r="G186" s="372"/>
      <c r="H186" s="372"/>
      <c r="I186" s="370"/>
      <c r="J186" s="129" t="str">
        <f>IF(AND('Mapa final'!$AB$94="Baja",'Mapa final'!$AD$94="Leve"),CONCATENATE("R31C",'Mapa final'!$R$94),"")</f>
        <v/>
      </c>
      <c r="K186" s="56" t="str">
        <f>IF(AND('Mapa final'!$AB$95="Baja",'Mapa final'!$AD$95="Leve"),CONCATENATE("R31C",'Mapa final'!$R$95),"")</f>
        <v/>
      </c>
      <c r="L186" s="130" t="str">
        <f>IF(AND('Mapa final'!$AB$96="Baja",'Mapa final'!$AD$96="Leve"),CONCATENATE("R32C",'Mapa final'!$R$96),"")</f>
        <v/>
      </c>
      <c r="M186" s="51" t="str">
        <f>IF(AND('Mapa final'!$AB$94="Baja",'Mapa final'!$AD$94="Menor"),CONCATENATE("R31C",'Mapa final'!$R$94),"")</f>
        <v/>
      </c>
      <c r="N186" s="52" t="str">
        <f>IF(AND('Mapa final'!$AB$95="Baja",'Mapa final'!$AD$95="Menor"),CONCATENATE("R31C",'Mapa final'!$R$95),"")</f>
        <v/>
      </c>
      <c r="O186" s="125" t="str">
        <f>IF(AND('Mapa final'!$AB$96="Baja",'Mapa final'!$AD$96="Menor"),CONCATENATE("R32C",'Mapa final'!$R$96),"")</f>
        <v/>
      </c>
      <c r="P186" s="51" t="str">
        <f>IF(AND('Mapa final'!$AB$94="Baja",'Mapa final'!$AD$94="Moderado"),CONCATENATE("R31C",'Mapa final'!$R$94),"")</f>
        <v>R31C1</v>
      </c>
      <c r="Q186" s="52" t="str">
        <f>IF(AND('Mapa final'!$AB$95="Baja",'Mapa final'!$AD$95="Moderado"),CONCATENATE("R31C",'Mapa final'!$R$95),"")</f>
        <v/>
      </c>
      <c r="R186" s="125" t="str">
        <f>IF(AND('Mapa final'!$AB$96="Baja",'Mapa final'!$AD$96="Moderado"),CONCATENATE("R32C",'Mapa final'!$R$96),"")</f>
        <v/>
      </c>
      <c r="S186" s="119" t="str">
        <f>IF(AND('Mapa final'!$AB$94="Baja",'Mapa final'!$AD$94="Mayor"),CONCATENATE("R31C",'Mapa final'!$R$94),"")</f>
        <v/>
      </c>
      <c r="T186" s="44" t="str">
        <f>IF(AND('Mapa final'!$AB$95="Baja",'Mapa final'!$AD$95="Mayor"),CONCATENATE("R31C",'Mapa final'!$R$95),"")</f>
        <v/>
      </c>
      <c r="U186" s="120" t="str">
        <f>IF(AND('Mapa final'!$AB$96="Baja",'Mapa final'!$AD$96="Mayor"),CONCATENATE("R32C",'Mapa final'!$R$96),"")</f>
        <v/>
      </c>
      <c r="V186" s="45" t="str">
        <f>IF(AND('Mapa final'!$AB$94="Baja",'Mapa final'!$AD$94="Catastrófico"),CONCATENATE("R31C",'Mapa final'!$R$94),"")</f>
        <v/>
      </c>
      <c r="W186" s="46" t="str">
        <f>IF(AND('Mapa final'!$AB$95="Baja",'Mapa final'!$AD$95="Catastrófico"),CONCATENATE("R31C",'Mapa final'!$R$95),"")</f>
        <v/>
      </c>
      <c r="X186" s="114" t="str">
        <f>IF(AND('Mapa final'!$AB$96="Baja",'Mapa final'!$AD$96="Catastrófico"),CONCATENATE("R32C",'Mapa final'!$R$96),"")</f>
        <v/>
      </c>
      <c r="Y186" s="58"/>
      <c r="Z186" s="389"/>
      <c r="AA186" s="390"/>
      <c r="AB186" s="390"/>
      <c r="AC186" s="390"/>
      <c r="AD186" s="390"/>
      <c r="AE186" s="391"/>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c r="BD186" s="58"/>
      <c r="BE186" s="58"/>
      <c r="BF186" s="58"/>
      <c r="BG186" s="58"/>
      <c r="BH186" s="58"/>
      <c r="BI186" s="58"/>
    </row>
    <row r="187" spans="1:61" ht="15" customHeight="1" x14ac:dyDescent="0.25">
      <c r="A187" s="58"/>
      <c r="B187" s="356"/>
      <c r="C187" s="356"/>
      <c r="D187" s="357"/>
      <c r="E187" s="371"/>
      <c r="F187" s="372"/>
      <c r="G187" s="372"/>
      <c r="H187" s="372"/>
      <c r="I187" s="370"/>
      <c r="J187" s="129" t="str">
        <f>IF(AND('Mapa final'!$AB$97="Baja",'Mapa final'!$AD$97="Leve"),CONCATENATE("R32C",'Mapa final'!$R$97),"")</f>
        <v/>
      </c>
      <c r="K187" s="56" t="str">
        <f>IF(AND('Mapa final'!$AB$98="Baja",'Mapa final'!$AD$98="Leve"),CONCATENATE("R32C",'Mapa final'!$R$98),"")</f>
        <v/>
      </c>
      <c r="L187" s="130" t="str">
        <f>IF(AND('Mapa final'!$AB$99="Baja",'Mapa final'!$AD$99="Leve"),CONCATENATE("R33C",'Mapa final'!$R$99),"")</f>
        <v/>
      </c>
      <c r="M187" s="51" t="str">
        <f>IF(AND('Mapa final'!$AB$97="Baja",'Mapa final'!$AD$97="Menor"),CONCATENATE("R32C",'Mapa final'!$R$97),"")</f>
        <v/>
      </c>
      <c r="N187" s="52" t="str">
        <f>IF(AND('Mapa final'!$AB$98="Baja",'Mapa final'!$AD$98="Menor"),CONCATENATE("R32C",'Mapa final'!$R$98),"")</f>
        <v/>
      </c>
      <c r="O187" s="125" t="str">
        <f>IF(AND('Mapa final'!$AB$99="Baja",'Mapa final'!$AD$99="Menor"),CONCATENATE("R33C",'Mapa final'!$R$99),"")</f>
        <v/>
      </c>
      <c r="P187" s="51" t="str">
        <f>IF(AND('Mapa final'!$AB$97="Baja",'Mapa final'!$AD$97="Moderado"),CONCATENATE("R32C",'Mapa final'!$R$97),"")</f>
        <v/>
      </c>
      <c r="Q187" s="52" t="str">
        <f>IF(AND('Mapa final'!$AB$98="Baja",'Mapa final'!$AD$98="Moderado"),CONCATENATE("R32C",'Mapa final'!$R$98),"")</f>
        <v/>
      </c>
      <c r="R187" s="125" t="str">
        <f>IF(AND('Mapa final'!$AB$99="Baja",'Mapa final'!$AD$99="Moderado"),CONCATENATE("R33C",'Mapa final'!$R$99),"")</f>
        <v/>
      </c>
      <c r="S187" s="119" t="str">
        <f>IF(AND('Mapa final'!$AB$97="Baja",'Mapa final'!$AD$97="Mayor"),CONCATENATE("R32C",'Mapa final'!$R$97),"")</f>
        <v/>
      </c>
      <c r="T187" s="44" t="str">
        <f>IF(AND('Mapa final'!$AB$98="Baja",'Mapa final'!$AD$98="Mayor"),CONCATENATE("R32C",'Mapa final'!$R$98),"")</f>
        <v/>
      </c>
      <c r="U187" s="120" t="str">
        <f>IF(AND('Mapa final'!$AB$99="Baja",'Mapa final'!$AD$99="Mayor"),CONCATENATE("R33C",'Mapa final'!$R$99),"")</f>
        <v/>
      </c>
      <c r="V187" s="45" t="str">
        <f>IF(AND('Mapa final'!$AB$97="Baja",'Mapa final'!$AD$97="Catastrófico"),CONCATENATE("R32C",'Mapa final'!$R$97),"")</f>
        <v/>
      </c>
      <c r="W187" s="46" t="str">
        <f>IF(AND('Mapa final'!$AB$98="Baja",'Mapa final'!$AD$98="Catastrófico"),CONCATENATE("R32C",'Mapa final'!$R$98),"")</f>
        <v/>
      </c>
      <c r="X187" s="114" t="str">
        <f>IF(AND('Mapa final'!$AB$99="Baja",'Mapa final'!$AD$99="Catastrófico"),CONCATENATE("R33C",'Mapa final'!$R$99),"")</f>
        <v/>
      </c>
      <c r="Y187" s="58"/>
      <c r="Z187" s="389"/>
      <c r="AA187" s="390"/>
      <c r="AB187" s="390"/>
      <c r="AC187" s="390"/>
      <c r="AD187" s="390"/>
      <c r="AE187" s="391"/>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c r="BD187" s="58"/>
      <c r="BE187" s="58"/>
      <c r="BF187" s="58"/>
      <c r="BG187" s="58"/>
      <c r="BH187" s="58"/>
      <c r="BI187" s="58"/>
    </row>
    <row r="188" spans="1:61" ht="15" customHeight="1" x14ac:dyDescent="0.25">
      <c r="A188" s="58"/>
      <c r="B188" s="356"/>
      <c r="C188" s="356"/>
      <c r="D188" s="357"/>
      <c r="E188" s="371"/>
      <c r="F188" s="372"/>
      <c r="G188" s="372"/>
      <c r="H188" s="372"/>
      <c r="I188" s="370"/>
      <c r="J188" s="129" t="str">
        <f>IF(AND('Mapa final'!$AB$100="Baja",'Mapa final'!$AD$100="Leve"),CONCATENATE("R33C",'Mapa final'!$R$100),"")</f>
        <v/>
      </c>
      <c r="K188" s="56" t="str">
        <f>IF(AND('Mapa final'!$AB$101="Baja",'Mapa final'!$AD$101="Leve"),CONCATENATE("R33C",'Mapa final'!$R$101),"")</f>
        <v/>
      </c>
      <c r="L188" s="130" t="str">
        <f>IF(AND('Mapa final'!$AB$102="Baja",'Mapa final'!$AD$102="Leve"),CONCATENATE("R34C",'Mapa final'!$R$102),"")</f>
        <v/>
      </c>
      <c r="M188" s="51" t="str">
        <f>IF(AND('Mapa final'!$AB$100="Baja",'Mapa final'!$AD$100="Menor"),CONCATENATE("R33C",'Mapa final'!$R$100),"")</f>
        <v/>
      </c>
      <c r="N188" s="52" t="str">
        <f>IF(AND('Mapa final'!$AB$101="Baja",'Mapa final'!$AD$101="Menor"),CONCATENATE("R33C",'Mapa final'!$R$101),"")</f>
        <v/>
      </c>
      <c r="O188" s="125" t="str">
        <f>IF(AND('Mapa final'!$AB$102="Baja",'Mapa final'!$AD$102="Menor"),CONCATENATE("R34C",'Mapa final'!$R$102),"")</f>
        <v/>
      </c>
      <c r="P188" s="51" t="str">
        <f>IF(AND('Mapa final'!$AB$100="Baja",'Mapa final'!$AD$100="Moderado"),CONCATENATE("R33C",'Mapa final'!$R$100),"")</f>
        <v/>
      </c>
      <c r="Q188" s="52" t="str">
        <f>IF(AND('Mapa final'!$AB$101="Baja",'Mapa final'!$AD$101="Moderado"),CONCATENATE("R33C",'Mapa final'!$R$101),"")</f>
        <v/>
      </c>
      <c r="R188" s="125" t="str">
        <f>IF(AND('Mapa final'!$AB$102="Baja",'Mapa final'!$AD$102="Moderado"),CONCATENATE("R34C",'Mapa final'!$R$102),"")</f>
        <v/>
      </c>
      <c r="S188" s="119" t="str">
        <f>IF(AND('Mapa final'!$AB$100="Baja",'Mapa final'!$AD$100="Mayor"),CONCATENATE("R33C",'Mapa final'!$R$100),"")</f>
        <v/>
      </c>
      <c r="T188" s="44" t="str">
        <f>IF(AND('Mapa final'!$AB$101="Baja",'Mapa final'!$AD$101="Mayor"),CONCATENATE("R33C",'Mapa final'!$R$101),"")</f>
        <v/>
      </c>
      <c r="U188" s="120" t="str">
        <f>IF(AND('Mapa final'!$AB$102="Baja",'Mapa final'!$AD$102="Mayor"),CONCATENATE("R34C",'Mapa final'!$R$102),"")</f>
        <v/>
      </c>
      <c r="V188" s="45" t="str">
        <f>IF(AND('Mapa final'!$AB$100="Baja",'Mapa final'!$AD$100="Catastrófico"),CONCATENATE("R33C",'Mapa final'!$R$100),"")</f>
        <v/>
      </c>
      <c r="W188" s="46" t="str">
        <f>IF(AND('Mapa final'!$AB$101="Baja",'Mapa final'!$AD$101="Catastrófico"),CONCATENATE("R33C",'Mapa final'!$R$101),"")</f>
        <v/>
      </c>
      <c r="X188" s="114" t="str">
        <f>IF(AND('Mapa final'!$AB$102="Baja",'Mapa final'!$AD$102="Catastrófico"),CONCATENATE("R34C",'Mapa final'!$R$102),"")</f>
        <v/>
      </c>
      <c r="Y188" s="58"/>
      <c r="Z188" s="389"/>
      <c r="AA188" s="390"/>
      <c r="AB188" s="390"/>
      <c r="AC188" s="390"/>
      <c r="AD188" s="390"/>
      <c r="AE188" s="391"/>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row>
    <row r="189" spans="1:61" ht="15" customHeight="1" x14ac:dyDescent="0.25">
      <c r="A189" s="58"/>
      <c r="B189" s="356"/>
      <c r="C189" s="356"/>
      <c r="D189" s="357"/>
      <c r="E189" s="371"/>
      <c r="F189" s="372"/>
      <c r="G189" s="372"/>
      <c r="H189" s="372"/>
      <c r="I189" s="370"/>
      <c r="J189" s="129" t="str">
        <f>IF(AND('Mapa final'!$AB$103="Baja",'Mapa final'!$AD$103="Leve"),CONCATENATE("R34C",'Mapa final'!$R$103),"")</f>
        <v/>
      </c>
      <c r="K189" s="56" t="str">
        <f>IF(AND('Mapa final'!$AB$104="Baja",'Mapa final'!$AD$104="Leve"),CONCATENATE("R34C",'Mapa final'!$R$104),"")</f>
        <v/>
      </c>
      <c r="L189" s="130" t="str">
        <f>IF(AND('Mapa final'!$AB$105="Baja",'Mapa final'!$AD$105="Leve"),CONCATENATE("R35C",'Mapa final'!$R$105),"")</f>
        <v/>
      </c>
      <c r="M189" s="51" t="str">
        <f>IF(AND('Mapa final'!$AB$103="Baja",'Mapa final'!$AD$103="Menor"),CONCATENATE("R34C",'Mapa final'!$R$103),"")</f>
        <v/>
      </c>
      <c r="N189" s="52" t="str">
        <f>IF(AND('Mapa final'!$AB$104="Baja",'Mapa final'!$AD$104="Menor"),CONCATENATE("R34C",'Mapa final'!$R$104),"")</f>
        <v/>
      </c>
      <c r="O189" s="125" t="str">
        <f>IF(AND('Mapa final'!$AB$105="Baja",'Mapa final'!$AD$105="Menor"),CONCATENATE("R35C",'Mapa final'!$R$105),"")</f>
        <v/>
      </c>
      <c r="P189" s="51" t="str">
        <f>IF(AND('Mapa final'!$AB$103="Baja",'Mapa final'!$AD$103="Moderado"),CONCATENATE("R34C",'Mapa final'!$R$103),"")</f>
        <v>R34C1</v>
      </c>
      <c r="Q189" s="52" t="str">
        <f>IF(AND('Mapa final'!$AB$104="Baja",'Mapa final'!$AD$104="Moderado"),CONCATENATE("R34C",'Mapa final'!$R$104),"")</f>
        <v/>
      </c>
      <c r="R189" s="125" t="str">
        <f>IF(AND('Mapa final'!$AB$105="Baja",'Mapa final'!$AD$105="Moderado"),CONCATENATE("R35C",'Mapa final'!$R$105),"")</f>
        <v/>
      </c>
      <c r="S189" s="119" t="str">
        <f>IF(AND('Mapa final'!$AB$103="Baja",'Mapa final'!$AD$103="Mayor"),CONCATENATE("R34C",'Mapa final'!$R$103),"")</f>
        <v/>
      </c>
      <c r="T189" s="44" t="str">
        <f>IF(AND('Mapa final'!$AB$104="Baja",'Mapa final'!$AD$104="Mayor"),CONCATENATE("R34C",'Mapa final'!$R$104),"")</f>
        <v/>
      </c>
      <c r="U189" s="120" t="str">
        <f>IF(AND('Mapa final'!$AB$105="Baja",'Mapa final'!$AD$105="Mayor"),CONCATENATE("R35C",'Mapa final'!$R$105),"")</f>
        <v/>
      </c>
      <c r="V189" s="45" t="str">
        <f>IF(AND('Mapa final'!$AB$103="Baja",'Mapa final'!$AD$103="Catastrófico"),CONCATENATE("R34C",'Mapa final'!$R$103),"")</f>
        <v/>
      </c>
      <c r="W189" s="46" t="str">
        <f>IF(AND('Mapa final'!$AB$104="Baja",'Mapa final'!$AD$104="Catastrófico"),CONCATENATE("R34C",'Mapa final'!$R$104),"")</f>
        <v/>
      </c>
      <c r="X189" s="114" t="str">
        <f>IF(AND('Mapa final'!$AB$105="Baja",'Mapa final'!$AD$105="Catastrófico"),CONCATENATE("R35C",'Mapa final'!$R$105),"")</f>
        <v/>
      </c>
      <c r="Y189" s="58"/>
      <c r="Z189" s="389"/>
      <c r="AA189" s="390"/>
      <c r="AB189" s="390"/>
      <c r="AC189" s="390"/>
      <c r="AD189" s="390"/>
      <c r="AE189" s="391"/>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c r="BD189" s="58"/>
      <c r="BE189" s="58"/>
      <c r="BF189" s="58"/>
      <c r="BG189" s="58"/>
      <c r="BH189" s="58"/>
      <c r="BI189" s="58"/>
    </row>
    <row r="190" spans="1:61" ht="15" customHeight="1" x14ac:dyDescent="0.25">
      <c r="A190" s="58"/>
      <c r="B190" s="356"/>
      <c r="C190" s="356"/>
      <c r="D190" s="357"/>
      <c r="E190" s="371"/>
      <c r="F190" s="372"/>
      <c r="G190" s="372"/>
      <c r="H190" s="372"/>
      <c r="I190" s="370"/>
      <c r="J190" s="129" t="str">
        <f>IF(AND('Mapa final'!$AB$106="Baja",'Mapa final'!$AD$106="Leve"),CONCATENATE("R35C",'Mapa final'!$R$106),"")</f>
        <v/>
      </c>
      <c r="K190" s="56" t="str">
        <f>IF(AND('Mapa final'!$AB$107="Baja",'Mapa final'!$AD$107="Leve"),CONCATENATE("R35C",'Mapa final'!$R$107),"")</f>
        <v/>
      </c>
      <c r="L190" s="130" t="str">
        <f>IF(AND('Mapa final'!$AB$108="Baja",'Mapa final'!$AD$108="Leve"),CONCATENATE("R36C",'Mapa final'!$R$108),"")</f>
        <v/>
      </c>
      <c r="M190" s="51" t="str">
        <f>IF(AND('Mapa final'!$AB$106="Baja",'Mapa final'!$AD$106="Menor"),CONCATENATE("R35C",'Mapa final'!$R$106),"")</f>
        <v/>
      </c>
      <c r="N190" s="52" t="str">
        <f>IF(AND('Mapa final'!$AB$107="Baja",'Mapa final'!$AD$107="Menor"),CONCATENATE("R35C",'Mapa final'!$R$107),"")</f>
        <v/>
      </c>
      <c r="O190" s="125" t="str">
        <f>IF(AND('Mapa final'!$AB$108="Baja",'Mapa final'!$AD$108="Menor"),CONCATENATE("R36C",'Mapa final'!$R$108),"")</f>
        <v/>
      </c>
      <c r="P190" s="51" t="str">
        <f>IF(AND('Mapa final'!$AB$106="Baja",'Mapa final'!$AD$106="Moderado"),CONCATENATE("R35C",'Mapa final'!$R$106),"")</f>
        <v/>
      </c>
      <c r="Q190" s="52" t="str">
        <f>IF(AND('Mapa final'!$AB$107="Baja",'Mapa final'!$AD$107="Moderado"),CONCATENATE("R35C",'Mapa final'!$R$107),"")</f>
        <v/>
      </c>
      <c r="R190" s="125" t="str">
        <f>IF(AND('Mapa final'!$AB$108="Baja",'Mapa final'!$AD$108="Moderado"),CONCATENATE("R36C",'Mapa final'!$R$108),"")</f>
        <v/>
      </c>
      <c r="S190" s="119" t="str">
        <f>IF(AND('Mapa final'!$AB$106="Baja",'Mapa final'!$AD$106="Mayor"),CONCATENATE("R35C",'Mapa final'!$R$106),"")</f>
        <v>R35C1</v>
      </c>
      <c r="T190" s="44" t="str">
        <f>IF(AND('Mapa final'!$AB$107="Baja",'Mapa final'!$AD$107="Mayor"),CONCATENATE("R35C",'Mapa final'!$R$107),"")</f>
        <v/>
      </c>
      <c r="U190" s="120" t="str">
        <f>IF(AND('Mapa final'!$AB$108="Baja",'Mapa final'!$AD$108="Mayor"),CONCATENATE("R36C",'Mapa final'!$R$108),"")</f>
        <v/>
      </c>
      <c r="V190" s="45" t="str">
        <f>IF(AND('Mapa final'!$AB$106="Baja",'Mapa final'!$AD$106="Catastrófico"),CONCATENATE("R35C",'Mapa final'!$R$106),"")</f>
        <v/>
      </c>
      <c r="W190" s="46" t="str">
        <f>IF(AND('Mapa final'!$AB$107="Baja",'Mapa final'!$AD$107="Catastrófico"),CONCATENATE("R35C",'Mapa final'!$R$107),"")</f>
        <v/>
      </c>
      <c r="X190" s="114" t="str">
        <f>IF(AND('Mapa final'!$AB$108="Baja",'Mapa final'!$AD$108="Catastrófico"),CONCATENATE("R36C",'Mapa final'!$R$108),"")</f>
        <v/>
      </c>
      <c r="Y190" s="58"/>
      <c r="Z190" s="389"/>
      <c r="AA190" s="390"/>
      <c r="AB190" s="390"/>
      <c r="AC190" s="390"/>
      <c r="AD190" s="390"/>
      <c r="AE190" s="391"/>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c r="BD190" s="58"/>
      <c r="BE190" s="58"/>
      <c r="BF190" s="58"/>
      <c r="BG190" s="58"/>
      <c r="BH190" s="58"/>
      <c r="BI190" s="58"/>
    </row>
    <row r="191" spans="1:61" ht="15" customHeight="1" x14ac:dyDescent="0.25">
      <c r="A191" s="58"/>
      <c r="B191" s="356"/>
      <c r="C191" s="356"/>
      <c r="D191" s="357"/>
      <c r="E191" s="371"/>
      <c r="F191" s="372"/>
      <c r="G191" s="372"/>
      <c r="H191" s="372"/>
      <c r="I191" s="370"/>
      <c r="J191" s="129" t="str">
        <f>IF(AND('Mapa final'!$AB$109="Baja",'Mapa final'!$AD$109="Leve"),CONCATENATE("R36C",'Mapa final'!$R$109),"")</f>
        <v/>
      </c>
      <c r="K191" s="56" t="str">
        <f>IF(AND('Mapa final'!$AB$110="Baja",'Mapa final'!$AD$110="Leve"),CONCATENATE("R36C",'Mapa final'!$R$110),"")</f>
        <v/>
      </c>
      <c r="L191" s="130" t="str">
        <f>IF(AND('Mapa final'!$AB$111="Baja",'Mapa final'!$AD$111="Leve"),CONCATENATE("R37C",'Mapa final'!$R$111),"")</f>
        <v/>
      </c>
      <c r="M191" s="51" t="str">
        <f>IF(AND('Mapa final'!$AB$109="Baja",'Mapa final'!$AD$109="Menor"),CONCATENATE("R36C",'Mapa final'!$R$109),"")</f>
        <v>R36C1</v>
      </c>
      <c r="N191" s="52" t="str">
        <f>IF(AND('Mapa final'!$AB$110="Baja",'Mapa final'!$AD$110="Menor"),CONCATENATE("R36C",'Mapa final'!$R$110),"")</f>
        <v/>
      </c>
      <c r="O191" s="125" t="str">
        <f>IF(AND('Mapa final'!$AB$111="Baja",'Mapa final'!$AD$111="Menor"),CONCATENATE("R37C",'Mapa final'!$R$111),"")</f>
        <v/>
      </c>
      <c r="P191" s="51" t="str">
        <f>IF(AND('Mapa final'!$AB$109="Baja",'Mapa final'!$AD$109="Moderado"),CONCATENATE("R36C",'Mapa final'!$R$109),"")</f>
        <v/>
      </c>
      <c r="Q191" s="52" t="str">
        <f>IF(AND('Mapa final'!$AB$110="Baja",'Mapa final'!$AD$110="Moderado"),CONCATENATE("R36C",'Mapa final'!$R$110),"")</f>
        <v/>
      </c>
      <c r="R191" s="125" t="str">
        <f>IF(AND('Mapa final'!$AB$111="Baja",'Mapa final'!$AD$111="Moderado"),CONCATENATE("R37C",'Mapa final'!$R$111),"")</f>
        <v/>
      </c>
      <c r="S191" s="119" t="str">
        <f>IF(AND('Mapa final'!$AB$109="Baja",'Mapa final'!$AD$109="Mayor"),CONCATENATE("R36C",'Mapa final'!$R$109),"")</f>
        <v/>
      </c>
      <c r="T191" s="44" t="str">
        <f>IF(AND('Mapa final'!$AB$110="Baja",'Mapa final'!$AD$110="Mayor"),CONCATENATE("R36C",'Mapa final'!$R$110),"")</f>
        <v/>
      </c>
      <c r="U191" s="120" t="str">
        <f>IF(AND('Mapa final'!$AB$111="Baja",'Mapa final'!$AD$111="Mayor"),CONCATENATE("R37C",'Mapa final'!$R$111),"")</f>
        <v/>
      </c>
      <c r="V191" s="45" t="str">
        <f>IF(AND('Mapa final'!$AB$109="Baja",'Mapa final'!$AD$109="Catastrófico"),CONCATENATE("R36C",'Mapa final'!$R$109),"")</f>
        <v/>
      </c>
      <c r="W191" s="46" t="str">
        <f>IF(AND('Mapa final'!$AB$110="Baja",'Mapa final'!$AD$110="Catastrófico"),CONCATENATE("R36C",'Mapa final'!$R$110),"")</f>
        <v/>
      </c>
      <c r="X191" s="114" t="str">
        <f>IF(AND('Mapa final'!$AB$111="Baja",'Mapa final'!$AD$111="Catastrófico"),CONCATENATE("R37C",'Mapa final'!$R$111),"")</f>
        <v/>
      </c>
      <c r="Y191" s="58"/>
      <c r="Z191" s="389"/>
      <c r="AA191" s="390"/>
      <c r="AB191" s="390"/>
      <c r="AC191" s="390"/>
      <c r="AD191" s="390"/>
      <c r="AE191" s="391"/>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c r="BD191" s="58"/>
      <c r="BE191" s="58"/>
      <c r="BF191" s="58"/>
      <c r="BG191" s="58"/>
      <c r="BH191" s="58"/>
      <c r="BI191" s="58"/>
    </row>
    <row r="192" spans="1:61" ht="15" customHeight="1" x14ac:dyDescent="0.25">
      <c r="A192" s="58"/>
      <c r="B192" s="356"/>
      <c r="C192" s="356"/>
      <c r="D192" s="357"/>
      <c r="E192" s="371"/>
      <c r="F192" s="372"/>
      <c r="G192" s="372"/>
      <c r="H192" s="372"/>
      <c r="I192" s="370"/>
      <c r="J192" s="129" t="str">
        <f>IF(AND('Mapa final'!$AB$112="Baja",'Mapa final'!$AD$112="Leve"),CONCATENATE("R37C",'Mapa final'!$R$112),"")</f>
        <v/>
      </c>
      <c r="K192" s="56" t="str">
        <f>IF(AND('Mapa final'!$AB$113="Baja",'Mapa final'!$AD$113="Leve"),CONCATENATE("R37C",'Mapa final'!$R$113),"")</f>
        <v/>
      </c>
      <c r="L192" s="130" t="str">
        <f>IF(AND('Mapa final'!$AB$114="Baja",'Mapa final'!$AD$114="Leve"),CONCATENATE("R38C",'Mapa final'!$R$114),"")</f>
        <v/>
      </c>
      <c r="M192" s="51" t="str">
        <f>IF(AND('Mapa final'!$AB$112="Baja",'Mapa final'!$AD$112="Menor"),CONCATENATE("R37C",'Mapa final'!$R$112),"")</f>
        <v>R37C1</v>
      </c>
      <c r="N192" s="52" t="str">
        <f>IF(AND('Mapa final'!$AB$113="Baja",'Mapa final'!$AD$113="Menor"),CONCATENATE("R37C",'Mapa final'!$R$113),"")</f>
        <v/>
      </c>
      <c r="O192" s="125" t="str">
        <f>IF(AND('Mapa final'!$AB$114="Baja",'Mapa final'!$AD$114="Menor"),CONCATENATE("R38C",'Mapa final'!$R$114),"")</f>
        <v/>
      </c>
      <c r="P192" s="51" t="str">
        <f>IF(AND('Mapa final'!$AB$112="Baja",'Mapa final'!$AD$112="Moderado"),CONCATENATE("R37C",'Mapa final'!$R$112),"")</f>
        <v/>
      </c>
      <c r="Q192" s="52" t="str">
        <f>IF(AND('Mapa final'!$AB$113="Baja",'Mapa final'!$AD$113="Moderado"),CONCATENATE("R37C",'Mapa final'!$R$113),"")</f>
        <v/>
      </c>
      <c r="R192" s="125" t="str">
        <f>IF(AND('Mapa final'!$AB$114="Baja",'Mapa final'!$AD$114="Moderado"),CONCATENATE("R38C",'Mapa final'!$R$114),"")</f>
        <v/>
      </c>
      <c r="S192" s="119" t="str">
        <f>IF(AND('Mapa final'!$AB$112="Baja",'Mapa final'!$AD$112="Mayor"),CONCATENATE("R37C",'Mapa final'!$R$112),"")</f>
        <v/>
      </c>
      <c r="T192" s="44" t="str">
        <f>IF(AND('Mapa final'!$AB$113="Baja",'Mapa final'!$AD$113="Mayor"),CONCATENATE("R37C",'Mapa final'!$R$113),"")</f>
        <v/>
      </c>
      <c r="U192" s="120" t="str">
        <f>IF(AND('Mapa final'!$AB$114="Baja",'Mapa final'!$AD$114="Mayor"),CONCATENATE("R38C",'Mapa final'!$R$114),"")</f>
        <v/>
      </c>
      <c r="V192" s="45" t="str">
        <f>IF(AND('Mapa final'!$AB$112="Baja",'Mapa final'!$AD$112="Catastrófico"),CONCATENATE("R37C",'Mapa final'!$R$112),"")</f>
        <v/>
      </c>
      <c r="W192" s="46" t="str">
        <f>IF(AND('Mapa final'!$AB$113="Baja",'Mapa final'!$AD$113="Catastrófico"),CONCATENATE("R37C",'Mapa final'!$R$113),"")</f>
        <v/>
      </c>
      <c r="X192" s="114" t="str">
        <f>IF(AND('Mapa final'!$AB$114="Baja",'Mapa final'!$AD$114="Catastrófico"),CONCATENATE("R38C",'Mapa final'!$R$114),"")</f>
        <v/>
      </c>
      <c r="Y192" s="58"/>
      <c r="Z192" s="389"/>
      <c r="AA192" s="390"/>
      <c r="AB192" s="390"/>
      <c r="AC192" s="390"/>
      <c r="AD192" s="390"/>
      <c r="AE192" s="391"/>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c r="BD192" s="58"/>
      <c r="BE192" s="58"/>
      <c r="BF192" s="58"/>
      <c r="BG192" s="58"/>
      <c r="BH192" s="58"/>
      <c r="BI192" s="58"/>
    </row>
    <row r="193" spans="1:65" ht="15" customHeight="1" x14ac:dyDescent="0.25">
      <c r="A193" s="58"/>
      <c r="B193" s="356"/>
      <c r="C193" s="356"/>
      <c r="D193" s="357"/>
      <c r="E193" s="371"/>
      <c r="F193" s="372"/>
      <c r="G193" s="372"/>
      <c r="H193" s="372"/>
      <c r="I193" s="370"/>
      <c r="J193" s="129" t="str">
        <f>IF(AND('Mapa final'!$AB$115="Baja",'Mapa final'!$AD$115="Leve"),CONCATENATE("R38C",'Mapa final'!$R$115),"")</f>
        <v/>
      </c>
      <c r="K193" s="56" t="str">
        <f>IF(AND('Mapa final'!$AB$116="Baja",'Mapa final'!$AD$116="Leve"),CONCATENATE("R38C",'Mapa final'!$R$116),"")</f>
        <v/>
      </c>
      <c r="L193" s="130" t="str">
        <f>IF(AND('Mapa final'!$AB$117="Baja",'Mapa final'!$AD$117="Leve"),CONCATENATE("R39C",'Mapa final'!$R$117),"")</f>
        <v/>
      </c>
      <c r="M193" s="51" t="str">
        <f>IF(AND('Mapa final'!$AB$115="Baja",'Mapa final'!$AD$115="Menor"),CONCATENATE("R38C",'Mapa final'!$R$115),"")</f>
        <v/>
      </c>
      <c r="N193" s="52" t="str">
        <f>IF(AND('Mapa final'!$AB$116="Baja",'Mapa final'!$AD$116="Menor"),CONCATENATE("R38C",'Mapa final'!$R$116),"")</f>
        <v/>
      </c>
      <c r="O193" s="125" t="str">
        <f>IF(AND('Mapa final'!$AB$117="Baja",'Mapa final'!$AD$117="Menor"),CONCATENATE("R39C",'Mapa final'!$R$117),"")</f>
        <v/>
      </c>
      <c r="P193" s="51" t="str">
        <f>IF(AND('Mapa final'!$AB$115="Baja",'Mapa final'!$AD$115="Moderado"),CONCATENATE("R38C",'Mapa final'!$R$115),"")</f>
        <v/>
      </c>
      <c r="Q193" s="52" t="str">
        <f>IF(AND('Mapa final'!$AB$116="Baja",'Mapa final'!$AD$116="Moderado"),CONCATENATE("R38C",'Mapa final'!$R$116),"")</f>
        <v/>
      </c>
      <c r="R193" s="125" t="str">
        <f>IF(AND('Mapa final'!$AB$117="Baja",'Mapa final'!$AD$117="Moderado"),CONCATENATE("R39C",'Mapa final'!$R$117),"")</f>
        <v/>
      </c>
      <c r="S193" s="119" t="str">
        <f>IF(AND('Mapa final'!$AB$115="Baja",'Mapa final'!$AD$115="Mayor"),CONCATENATE("R38C",'Mapa final'!$R$115),"")</f>
        <v/>
      </c>
      <c r="T193" s="44" t="str">
        <f>IF(AND('Mapa final'!$AB$116="Baja",'Mapa final'!$AD$116="Mayor"),CONCATENATE("R38C",'Mapa final'!$R$116),"")</f>
        <v/>
      </c>
      <c r="U193" s="120" t="str">
        <f>IF(AND('Mapa final'!$AB$117="Baja",'Mapa final'!$AD$117="Mayor"),CONCATENATE("R39C",'Mapa final'!$R$117),"")</f>
        <v/>
      </c>
      <c r="V193" s="45" t="str">
        <f>IF(AND('Mapa final'!$AB$115="Baja",'Mapa final'!$AD$115="Catastrófico"),CONCATENATE("R38C",'Mapa final'!$R$115),"")</f>
        <v/>
      </c>
      <c r="W193" s="46" t="str">
        <f>IF(AND('Mapa final'!$AB$116="Baja",'Mapa final'!$AD$116="Catastrófico"),CONCATENATE("R38C",'Mapa final'!$R$116),"")</f>
        <v/>
      </c>
      <c r="X193" s="114" t="str">
        <f>IF(AND('Mapa final'!$AB$117="Baja",'Mapa final'!$AD$117="Catastrófico"),CONCATENATE("R39C",'Mapa final'!$R$117),"")</f>
        <v/>
      </c>
      <c r="Y193" s="58"/>
      <c r="Z193" s="389"/>
      <c r="AA193" s="390"/>
      <c r="AB193" s="390"/>
      <c r="AC193" s="390"/>
      <c r="AD193" s="390"/>
      <c r="AE193" s="391"/>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c r="BD193" s="58"/>
      <c r="BE193" s="58"/>
      <c r="BF193" s="58"/>
      <c r="BG193" s="58"/>
      <c r="BH193" s="58"/>
      <c r="BI193" s="58"/>
    </row>
    <row r="194" spans="1:65" ht="15" customHeight="1" x14ac:dyDescent="0.25">
      <c r="A194" s="58"/>
      <c r="B194" s="356"/>
      <c r="C194" s="356"/>
      <c r="D194" s="357"/>
      <c r="E194" s="371"/>
      <c r="F194" s="372"/>
      <c r="G194" s="372"/>
      <c r="H194" s="372"/>
      <c r="I194" s="370"/>
      <c r="J194" s="129" t="str">
        <f>IF(AND('Mapa final'!$AB$118="Baja",'Mapa final'!$AD$118="Leve"),CONCATENATE("R39C",'Mapa final'!$R$118),"")</f>
        <v/>
      </c>
      <c r="K194" s="56" t="str">
        <f>IF(AND('Mapa final'!$AB$119="Baja",'Mapa final'!$AD$119="Leve"),CONCATENATE("R39C",'Mapa final'!$R$119),"")</f>
        <v/>
      </c>
      <c r="L194" s="130" t="str">
        <f>IF(AND('Mapa final'!$AB$120="Baja",'Mapa final'!$AD$120="Leve"),CONCATENATE("R40C",'Mapa final'!$R$120),"")</f>
        <v/>
      </c>
      <c r="M194" s="51" t="str">
        <f>IF(AND('Mapa final'!$AB$118="Baja",'Mapa final'!$AD$118="Menor"),CONCATENATE("R39C",'Mapa final'!$R$118),"")</f>
        <v/>
      </c>
      <c r="N194" s="52" t="str">
        <f>IF(AND('Mapa final'!$AB$119="Baja",'Mapa final'!$AD$119="Menor"),CONCATENATE("R39C",'Mapa final'!$R$119),"")</f>
        <v/>
      </c>
      <c r="O194" s="125" t="str">
        <f>IF(AND('Mapa final'!$AB$120="Baja",'Mapa final'!$AD$120="Menor"),CONCATENATE("R40C",'Mapa final'!$R$120),"")</f>
        <v/>
      </c>
      <c r="P194" s="51" t="str">
        <f>IF(AND('Mapa final'!$AB$118="Baja",'Mapa final'!$AD$118="Moderado"),CONCATENATE("R39C",'Mapa final'!$R$118),"")</f>
        <v/>
      </c>
      <c r="Q194" s="52" t="str">
        <f>IF(AND('Mapa final'!$AB$119="Baja",'Mapa final'!$AD$119="Moderado"),CONCATENATE("R39C",'Mapa final'!$R$119),"")</f>
        <v/>
      </c>
      <c r="R194" s="125" t="str">
        <f>IF(AND('Mapa final'!$AB$120="Baja",'Mapa final'!$AD$120="Moderado"),CONCATENATE("R40C",'Mapa final'!$R$120),"")</f>
        <v/>
      </c>
      <c r="S194" s="119" t="str">
        <f>IF(AND('Mapa final'!$AB$118="Baja",'Mapa final'!$AD$118="Mayor"),CONCATENATE("R39C",'Mapa final'!$R$118),"")</f>
        <v/>
      </c>
      <c r="T194" s="44" t="str">
        <f>IF(AND('Mapa final'!$AB$119="Baja",'Mapa final'!$AD$119="Mayor"),CONCATENATE("R39C",'Mapa final'!$R$119),"")</f>
        <v/>
      </c>
      <c r="U194" s="120" t="str">
        <f>IF(AND('Mapa final'!$AB$120="Baja",'Mapa final'!$AD$120="Mayor"),CONCATENATE("R40C",'Mapa final'!$R$120),"")</f>
        <v/>
      </c>
      <c r="V194" s="45" t="str">
        <f>IF(AND('Mapa final'!$AB$118="Baja",'Mapa final'!$AD$118="Catastrófico"),CONCATENATE("R39C",'Mapa final'!$R$118),"")</f>
        <v/>
      </c>
      <c r="W194" s="46" t="str">
        <f>IF(AND('Mapa final'!$AB$119="Baja",'Mapa final'!$AD$119="Catastrófico"),CONCATENATE("R39C",'Mapa final'!$R$119),"")</f>
        <v/>
      </c>
      <c r="X194" s="114" t="str">
        <f>IF(AND('Mapa final'!$AB$120="Baja",'Mapa final'!$AD$120="Catastrófico"),CONCATENATE("R40C",'Mapa final'!$R$120),"")</f>
        <v/>
      </c>
      <c r="Y194" s="58"/>
      <c r="Z194" s="389"/>
      <c r="AA194" s="390"/>
      <c r="AB194" s="390"/>
      <c r="AC194" s="390"/>
      <c r="AD194" s="390"/>
      <c r="AE194" s="391"/>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c r="BD194" s="58"/>
      <c r="BE194" s="58"/>
      <c r="BF194" s="58"/>
      <c r="BG194" s="58"/>
      <c r="BH194" s="58"/>
      <c r="BI194" s="58"/>
    </row>
    <row r="195" spans="1:65" ht="15" customHeight="1" x14ac:dyDescent="0.25">
      <c r="A195" s="58"/>
      <c r="B195" s="356"/>
      <c r="C195" s="356"/>
      <c r="D195" s="357"/>
      <c r="E195" s="371"/>
      <c r="F195" s="372"/>
      <c r="G195" s="372"/>
      <c r="H195" s="372"/>
      <c r="I195" s="370"/>
      <c r="J195" s="129" t="str">
        <f>IF(AND('Mapa final'!$AB$121="Baja",'Mapa final'!$AD$121="Leve"),CONCATENATE("R40C",'Mapa final'!$R$121),"")</f>
        <v/>
      </c>
      <c r="K195" s="56" t="str">
        <f>IF(AND('Mapa final'!$AB$122="Baja",'Mapa final'!$AD$122="Leve"),CONCATENATE("R40C",'Mapa final'!$R$122),"")</f>
        <v/>
      </c>
      <c r="L195" s="130" t="str">
        <f>IF(AND('Mapa final'!$AB$123="Baja",'Mapa final'!$AD$123="Leve"),CONCATENATE("R40C",'Mapa final'!$R$123),"")</f>
        <v/>
      </c>
      <c r="M195" s="51" t="str">
        <f>IF(AND('Mapa final'!$AB$121="Baja",'Mapa final'!$AD$121="Menor"),CONCATENATE("R40C",'Mapa final'!$R$121),"")</f>
        <v/>
      </c>
      <c r="N195" s="52" t="str">
        <f>IF(AND('Mapa final'!$AB$122="Baja",'Mapa final'!$AD$122="Menor"),CONCATENATE("R40C",'Mapa final'!$R$122),"")</f>
        <v/>
      </c>
      <c r="O195" s="125" t="str">
        <f>IF(AND('Mapa final'!$AB$123="Baja",'Mapa final'!$AD$123="Menor"),CONCATENATE("R40C",'Mapa final'!$R$123),"")</f>
        <v/>
      </c>
      <c r="P195" s="51" t="str">
        <f>IF(AND('Mapa final'!$AB$121="Baja",'Mapa final'!$AD$121="Moderado"),CONCATENATE("R40C",'Mapa final'!$R$121),"")</f>
        <v/>
      </c>
      <c r="Q195" s="52" t="str">
        <f>IF(AND('Mapa final'!$AB$122="Baja",'Mapa final'!$AD$122="Moderado"),CONCATENATE("R40C",'Mapa final'!$R$122),"")</f>
        <v/>
      </c>
      <c r="R195" s="125" t="str">
        <f>IF(AND('Mapa final'!$AB$123="Baja",'Mapa final'!$AD$123="Moderado"),CONCATENATE("R40C",'Mapa final'!$R$123),"")</f>
        <v/>
      </c>
      <c r="S195" s="119" t="str">
        <f>IF(AND('Mapa final'!$AB$121="Baja",'Mapa final'!$AD$121="Mayor"),CONCATENATE("R40C",'Mapa final'!$R$121),"")</f>
        <v/>
      </c>
      <c r="T195" s="44" t="str">
        <f>IF(AND('Mapa final'!$AB$122="Baja",'Mapa final'!$AD$122="Mayor"),CONCATENATE("R40C",'Mapa final'!$R$122),"")</f>
        <v/>
      </c>
      <c r="U195" s="120" t="str">
        <f>IF(AND('Mapa final'!$AB$123="Baja",'Mapa final'!$AD$123="Mayor"),CONCATENATE("R40C",'Mapa final'!$R$123),"")</f>
        <v/>
      </c>
      <c r="V195" s="45" t="str">
        <f>IF(AND('Mapa final'!$AB$121="Baja",'Mapa final'!$AD$121="Catastrófico"),CONCATENATE("R40C",'Mapa final'!$R$121),"")</f>
        <v/>
      </c>
      <c r="W195" s="46" t="str">
        <f>IF(AND('Mapa final'!$AB$122="Baja",'Mapa final'!$AD$122="Catastrófico"),CONCATENATE("R40C",'Mapa final'!$R$122),"")</f>
        <v/>
      </c>
      <c r="X195" s="114" t="str">
        <f>IF(AND('Mapa final'!$AB$123="Baja",'Mapa final'!$AD$123="Catastrófico"),CONCATENATE("R40C",'Mapa final'!$R$123),"")</f>
        <v/>
      </c>
      <c r="Y195" s="58"/>
      <c r="Z195" s="389"/>
      <c r="AA195" s="390"/>
      <c r="AB195" s="390"/>
      <c r="AC195" s="390"/>
      <c r="AD195" s="390"/>
      <c r="AE195" s="391"/>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c r="BD195" s="58"/>
      <c r="BE195" s="58"/>
      <c r="BF195" s="58"/>
      <c r="BG195" s="58"/>
      <c r="BH195" s="58"/>
      <c r="BI195" s="58"/>
    </row>
    <row r="196" spans="1:65" ht="15" customHeight="1" x14ac:dyDescent="0.25">
      <c r="A196" s="58"/>
      <c r="B196" s="356"/>
      <c r="C196" s="356"/>
      <c r="D196" s="357"/>
      <c r="E196" s="371"/>
      <c r="F196" s="372"/>
      <c r="G196" s="372"/>
      <c r="H196" s="372"/>
      <c r="I196" s="370"/>
      <c r="J196" s="129" t="str">
        <f>IF(AND('Mapa final'!$AB$124="Baja",'Mapa final'!$AD$124="Leve"),CONCATENATE("R41C",'Mapa final'!$R$124),"")</f>
        <v/>
      </c>
      <c r="K196" s="56" t="str">
        <f>IF(AND('Mapa final'!$AB$125="Baja",'Mapa final'!$AD$125="Leve"),CONCATENATE("R41C",'Mapa final'!$R$125),"")</f>
        <v/>
      </c>
      <c r="L196" s="130" t="str">
        <f>IF(AND('Mapa final'!$AB$126="Baja",'Mapa final'!$AD$126="Leve"),CONCATENATE("R41C",'Mapa final'!$R$126),"")</f>
        <v/>
      </c>
      <c r="M196" s="51" t="str">
        <f>IF(AND('Mapa final'!$AB$124="Baja",'Mapa final'!$AD$124="Menor"),CONCATENATE("R41C",'Mapa final'!$R$124),"")</f>
        <v/>
      </c>
      <c r="N196" s="52" t="str">
        <f>IF(AND('Mapa final'!$AB$125="Baja",'Mapa final'!$AD$125="Menor"),CONCATENATE("R41C",'Mapa final'!$R$125),"")</f>
        <v/>
      </c>
      <c r="O196" s="125" t="str">
        <f>IF(AND('Mapa final'!$AB$126="Baja",'Mapa final'!$AD$126="Menor"),CONCATENATE("R41C",'Mapa final'!$R$126),"")</f>
        <v/>
      </c>
      <c r="P196" s="51" t="str">
        <f>IF(AND('Mapa final'!$AB$124="Baja",'Mapa final'!$AD$124="Moderado"),CONCATENATE("R41C",'Mapa final'!$R$124),"")</f>
        <v/>
      </c>
      <c r="Q196" s="52" t="str">
        <f>IF(AND('Mapa final'!$AB$125="Baja",'Mapa final'!$AD$125="Moderado"),CONCATENATE("R41C",'Mapa final'!$R$125),"")</f>
        <v/>
      </c>
      <c r="R196" s="125" t="str">
        <f>IF(AND('Mapa final'!$AB$126="Baja",'Mapa final'!$AD$126="Moderado"),CONCATENATE("R41C",'Mapa final'!$R$126),"")</f>
        <v/>
      </c>
      <c r="S196" s="119" t="str">
        <f>IF(AND('Mapa final'!$AB$124="Baja",'Mapa final'!$AD$124="Mayor"),CONCATENATE("R41C",'Mapa final'!$R$124),"")</f>
        <v/>
      </c>
      <c r="T196" s="44" t="str">
        <f>IF(AND('Mapa final'!$AB$125="Baja",'Mapa final'!$AD$125="Mayor"),CONCATENATE("R41C",'Mapa final'!$R$125),"")</f>
        <v/>
      </c>
      <c r="U196" s="120" t="str">
        <f>IF(AND('Mapa final'!$AB$126="Baja",'Mapa final'!$AD$126="Mayor"),CONCATENATE("R41C",'Mapa final'!$R$126),"")</f>
        <v/>
      </c>
      <c r="V196" s="45" t="str">
        <f>IF(AND('Mapa final'!$AB$124="Baja",'Mapa final'!$AD$124="Catastrófico"),CONCATENATE("R41C",'Mapa final'!$R$124),"")</f>
        <v/>
      </c>
      <c r="W196" s="46" t="str">
        <f>IF(AND('Mapa final'!$AB$125="Baja",'Mapa final'!$AD$125="Catastrófico"),CONCATENATE("R41C",'Mapa final'!$R$125),"")</f>
        <v/>
      </c>
      <c r="X196" s="114" t="str">
        <f>IF(AND('Mapa final'!$AB$126="Baja",'Mapa final'!$AD$126="Catastrófico"),CONCATENATE("R41C",'Mapa final'!$R$126),"")</f>
        <v/>
      </c>
      <c r="Y196" s="58"/>
      <c r="Z196" s="389"/>
      <c r="AA196" s="390"/>
      <c r="AB196" s="390"/>
      <c r="AC196" s="390"/>
      <c r="AD196" s="390"/>
      <c r="AE196" s="391"/>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c r="BD196" s="58"/>
      <c r="BE196" s="58"/>
      <c r="BF196" s="58"/>
      <c r="BG196" s="58"/>
      <c r="BH196" s="58"/>
      <c r="BI196" s="58"/>
    </row>
    <row r="197" spans="1:65" ht="15" customHeight="1" x14ac:dyDescent="0.25">
      <c r="A197" s="58"/>
      <c r="B197" s="356"/>
      <c r="C197" s="356"/>
      <c r="D197" s="357"/>
      <c r="E197" s="371"/>
      <c r="F197" s="372"/>
      <c r="G197" s="372"/>
      <c r="H197" s="372"/>
      <c r="I197" s="370"/>
      <c r="J197" s="129" t="str">
        <f>IF(AND('Mapa final'!$AB$127="Baja",'Mapa final'!$AD$127="Leve"),CONCATENATE("R42C",'Mapa final'!$R$127),"")</f>
        <v/>
      </c>
      <c r="K197" s="56" t="str">
        <f>IF(AND('Mapa final'!$AB$128="Baja",'Mapa final'!$AD$128="Leve"),CONCATENATE("R42C",'Mapa final'!$R$128),"")</f>
        <v/>
      </c>
      <c r="L197" s="130" t="str">
        <f>IF(AND('Mapa final'!$AB$129="Baja",'Mapa final'!$AD$129="Leve"),CONCATENATE("R2C",'Mapa final'!$R$129),"")</f>
        <v/>
      </c>
      <c r="M197" s="51" t="str">
        <f>IF(AND('Mapa final'!$AB$127="Baja",'Mapa final'!$AD$127="Menor"),CONCATENATE("R42C",'Mapa final'!$R$127),"")</f>
        <v/>
      </c>
      <c r="N197" s="52" t="str">
        <f>IF(AND('Mapa final'!$AB$128="Baja",'Mapa final'!$AD$128="Menor"),CONCATENATE("R42C",'Mapa final'!$R$128),"")</f>
        <v/>
      </c>
      <c r="O197" s="125" t="str">
        <f>IF(AND('Mapa final'!$AB$129="Baja",'Mapa final'!$AD$129="Menor"),CONCATENATE("R2C",'Mapa final'!$R$129),"")</f>
        <v/>
      </c>
      <c r="P197" s="51" t="str">
        <f>IF(AND('Mapa final'!$AB$127="Baja",'Mapa final'!$AD$127="Moderado"),CONCATENATE("R42C",'Mapa final'!$R$127),"")</f>
        <v/>
      </c>
      <c r="Q197" s="52" t="str">
        <f>IF(AND('Mapa final'!$AB$128="Baja",'Mapa final'!$AD$128="Moderado"),CONCATENATE("R42C",'Mapa final'!$R$128),"")</f>
        <v/>
      </c>
      <c r="R197" s="125" t="str">
        <f>IF(AND('Mapa final'!$AB$129="Baja",'Mapa final'!$AD$129="Moderado"),CONCATENATE("R2C",'Mapa final'!$R$129),"")</f>
        <v/>
      </c>
      <c r="S197" s="119" t="str">
        <f>IF(AND('Mapa final'!$AB$127="Baja",'Mapa final'!$AD$127="Mayor"),CONCATENATE("R42C",'Mapa final'!$R$127),"")</f>
        <v/>
      </c>
      <c r="T197" s="44" t="str">
        <f>IF(AND('Mapa final'!$AB$128="Baja",'Mapa final'!$AD$128="Mayor"),CONCATENATE("R42C",'Mapa final'!$R$128),"")</f>
        <v/>
      </c>
      <c r="U197" s="120" t="str">
        <f>IF(AND('Mapa final'!$AB$129="Baja",'Mapa final'!$AD$129="Mayor"),CONCATENATE("R2C",'Mapa final'!$R$129),"")</f>
        <v/>
      </c>
      <c r="V197" s="45" t="str">
        <f>IF(AND('Mapa final'!$AB$127="Baja",'Mapa final'!$AD$127="Catastrófico"),CONCATENATE("R42C",'Mapa final'!$R$127),"")</f>
        <v/>
      </c>
      <c r="W197" s="46" t="str">
        <f>IF(AND('Mapa final'!$AB$128="Baja",'Mapa final'!$AD$128="Catastrófico"),CONCATENATE("R42C",'Mapa final'!$R$128),"")</f>
        <v/>
      </c>
      <c r="X197" s="114" t="str">
        <f>IF(AND('Mapa final'!$AB$129="Baja",'Mapa final'!$AD$129="Catastrófico"),CONCATENATE("R2C",'Mapa final'!$R$129),"")</f>
        <v/>
      </c>
      <c r="Y197" s="58"/>
      <c r="Z197" s="389"/>
      <c r="AA197" s="390"/>
      <c r="AB197" s="390"/>
      <c r="AC197" s="390"/>
      <c r="AD197" s="390"/>
      <c r="AE197" s="391"/>
      <c r="AF197" s="58"/>
      <c r="AG197" s="58"/>
      <c r="AH197" s="58"/>
      <c r="AI197" s="58"/>
      <c r="AJ197" s="58"/>
      <c r="AK197" s="58"/>
      <c r="AL197" s="58"/>
      <c r="AM197" s="58"/>
      <c r="AN197" s="58"/>
      <c r="AO197" s="58"/>
      <c r="AP197" s="58"/>
      <c r="AQ197" s="58"/>
      <c r="AR197" s="58"/>
      <c r="AS197" s="58"/>
      <c r="AT197" s="58"/>
      <c r="AU197" s="58"/>
      <c r="AV197" s="58"/>
      <c r="AW197" s="58"/>
      <c r="AX197" s="58"/>
      <c r="AY197" s="58"/>
      <c r="AZ197" s="58"/>
      <c r="BA197" s="58"/>
      <c r="BB197" s="58"/>
      <c r="BC197" s="58"/>
      <c r="BD197" s="58"/>
      <c r="BE197" s="58"/>
      <c r="BF197" s="58"/>
      <c r="BG197" s="58"/>
      <c r="BH197" s="58"/>
      <c r="BI197" s="58"/>
    </row>
    <row r="198" spans="1:65" ht="15" customHeight="1" x14ac:dyDescent="0.25">
      <c r="A198" s="58"/>
      <c r="B198" s="356"/>
      <c r="C198" s="356"/>
      <c r="D198" s="357"/>
      <c r="E198" s="371"/>
      <c r="F198" s="372"/>
      <c r="G198" s="372"/>
      <c r="H198" s="372"/>
      <c r="I198" s="370"/>
      <c r="J198" s="129" t="str">
        <f>IF(AND('Mapa final'!$AB$130="Baja",'Mapa final'!$AD$130="Leve"),CONCATENATE("R43C",'Mapa final'!$R$130),"")</f>
        <v/>
      </c>
      <c r="K198" s="56" t="str">
        <f>IF(AND('Mapa final'!$AB$131="Baja",'Mapa final'!$AD$131="Leve"),CONCATENATE("R43C",'Mapa final'!$R$131),"")</f>
        <v/>
      </c>
      <c r="L198" s="130" t="str">
        <f>IF(AND('Mapa final'!$AB$132="Baja",'Mapa final'!$AD$132="Leve"),CONCATENATE("R43C",'Mapa final'!$R$132),"")</f>
        <v/>
      </c>
      <c r="M198" s="51" t="str">
        <f>IF(AND('Mapa final'!$AB$130="Baja",'Mapa final'!$AD$130="Menor"),CONCATENATE("R43C",'Mapa final'!$R$130),"")</f>
        <v/>
      </c>
      <c r="N198" s="52" t="str">
        <f>IF(AND('Mapa final'!$AB$131="Baja",'Mapa final'!$AD$131="Menor"),CONCATENATE("R43C",'Mapa final'!$R$131),"")</f>
        <v/>
      </c>
      <c r="O198" s="125" t="str">
        <f>IF(AND('Mapa final'!$AB$132="Baja",'Mapa final'!$AD$132="Menor"),CONCATENATE("R43C",'Mapa final'!$R$132),"")</f>
        <v/>
      </c>
      <c r="P198" s="51" t="str">
        <f>IF(AND('Mapa final'!$AB$130="Baja",'Mapa final'!$AD$130="Moderado"),CONCATENATE("R43C",'Mapa final'!$R$130),"")</f>
        <v/>
      </c>
      <c r="Q198" s="52" t="str">
        <f>IF(AND('Mapa final'!$AB$131="Baja",'Mapa final'!$AD$131="Moderado"),CONCATENATE("R43C",'Mapa final'!$R$131),"")</f>
        <v/>
      </c>
      <c r="R198" s="125" t="str">
        <f>IF(AND('Mapa final'!$AB$132="Baja",'Mapa final'!$AD$132="Moderado"),CONCATENATE("R43C",'Mapa final'!$R$132),"")</f>
        <v/>
      </c>
      <c r="S198" s="119" t="str">
        <f>IF(AND('Mapa final'!$AB$130="Baja",'Mapa final'!$AD$130="Mayor"),CONCATENATE("R43C",'Mapa final'!$R$130),"")</f>
        <v/>
      </c>
      <c r="T198" s="44" t="str">
        <f>IF(AND('Mapa final'!$AB$131="Baja",'Mapa final'!$AD$131="Mayor"),CONCATENATE("R43C",'Mapa final'!$R$131),"")</f>
        <v/>
      </c>
      <c r="U198" s="120" t="str">
        <f>IF(AND('Mapa final'!$AB$132="Baja",'Mapa final'!$AD$132="Mayor"),CONCATENATE("R43C",'Mapa final'!$R$132),"")</f>
        <v/>
      </c>
      <c r="V198" s="45" t="str">
        <f>IF(AND('Mapa final'!$AB$130="Baja",'Mapa final'!$AD$130="Catastrófico"),CONCATENATE("R43C",'Mapa final'!$R$130),"")</f>
        <v/>
      </c>
      <c r="W198" s="46" t="str">
        <f>IF(AND('Mapa final'!$AB$131="Baja",'Mapa final'!$AD$131="Catastrófico"),CONCATENATE("R43C",'Mapa final'!$R$131),"")</f>
        <v/>
      </c>
      <c r="X198" s="114" t="str">
        <f>IF(AND('Mapa final'!$AB$132="Baja",'Mapa final'!$AD$132="Catastrófico"),CONCATENATE("R43C",'Mapa final'!$R$132),"")</f>
        <v/>
      </c>
      <c r="Y198" s="58"/>
      <c r="Z198" s="389"/>
      <c r="AA198" s="390"/>
      <c r="AB198" s="390"/>
      <c r="AC198" s="390"/>
      <c r="AD198" s="390"/>
      <c r="AE198" s="391"/>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c r="BB198" s="58"/>
      <c r="BC198" s="58"/>
      <c r="BD198" s="58"/>
      <c r="BE198" s="58"/>
      <c r="BF198" s="58"/>
      <c r="BG198" s="58"/>
      <c r="BH198" s="58"/>
      <c r="BI198" s="58"/>
    </row>
    <row r="199" spans="1:65" ht="15" customHeight="1" x14ac:dyDescent="0.25">
      <c r="A199" s="58"/>
      <c r="B199" s="356"/>
      <c r="C199" s="356"/>
      <c r="D199" s="357"/>
      <c r="E199" s="371"/>
      <c r="F199" s="372"/>
      <c r="G199" s="372"/>
      <c r="H199" s="372"/>
      <c r="I199" s="370"/>
      <c r="J199" s="129" t="str">
        <f>IF(AND('Mapa final'!$AB$133="Baja",'Mapa final'!$AD$133="Leve"),CONCATENATE("R44C",'Mapa final'!$R$133),"")</f>
        <v/>
      </c>
      <c r="K199" s="56" t="str">
        <f>IF(AND('Mapa final'!$AB$134="Baja",'Mapa final'!$AD$134="Leve"),CONCATENATE("R44C",'Mapa final'!$R$134),"")</f>
        <v/>
      </c>
      <c r="L199" s="130" t="str">
        <f>IF(AND('Mapa final'!$AB$135="Baja",'Mapa final'!$AD$135="Leve"),CONCATENATE("R44C",'Mapa final'!$R$135),"")</f>
        <v/>
      </c>
      <c r="M199" s="51" t="str">
        <f>IF(AND('Mapa final'!$AB$133="Baja",'Mapa final'!$AD$133="Menor"),CONCATENATE("R44C",'Mapa final'!$R$133),"")</f>
        <v/>
      </c>
      <c r="N199" s="52" t="str">
        <f>IF(AND('Mapa final'!$AB$134="Baja",'Mapa final'!$AD$134="Menor"),CONCATENATE("R44C",'Mapa final'!$R$134),"")</f>
        <v/>
      </c>
      <c r="O199" s="125" t="str">
        <f>IF(AND('Mapa final'!$AB$135="Baja",'Mapa final'!$AD$135="Menor"),CONCATENATE("R44C",'Mapa final'!$R$135),"")</f>
        <v/>
      </c>
      <c r="P199" s="51" t="str">
        <f>IF(AND('Mapa final'!$AB$133="Baja",'Mapa final'!$AD$133="Moderado"),CONCATENATE("R44C",'Mapa final'!$R$133),"")</f>
        <v/>
      </c>
      <c r="Q199" s="52" t="str">
        <f>IF(AND('Mapa final'!$AB$134="Baja",'Mapa final'!$AD$134="Moderado"),CONCATENATE("R44C",'Mapa final'!$R$134),"")</f>
        <v/>
      </c>
      <c r="R199" s="125" t="str">
        <f>IF(AND('Mapa final'!$AB$135="Baja",'Mapa final'!$AD$135="Moderado"),CONCATENATE("R44C",'Mapa final'!$R$135),"")</f>
        <v/>
      </c>
      <c r="S199" s="119" t="str">
        <f>IF(AND('Mapa final'!$AB$133="Baja",'Mapa final'!$AD$133="Mayor"),CONCATENATE("R44C",'Mapa final'!$R$133),"")</f>
        <v/>
      </c>
      <c r="T199" s="44" t="str">
        <f>IF(AND('Mapa final'!$AB$134="Baja",'Mapa final'!$AD$134="Mayor"),CONCATENATE("R44C",'Mapa final'!$R$134),"")</f>
        <v/>
      </c>
      <c r="U199" s="120" t="str">
        <f>IF(AND('Mapa final'!$AB$135="Baja",'Mapa final'!$AD$135="Mayor"),CONCATENATE("R44C",'Mapa final'!$R$135),"")</f>
        <v/>
      </c>
      <c r="V199" s="45" t="str">
        <f>IF(AND('Mapa final'!$AB$133="Baja",'Mapa final'!$AD$133="Catastrófico"),CONCATENATE("R44C",'Mapa final'!$R$133),"")</f>
        <v/>
      </c>
      <c r="W199" s="46" t="str">
        <f>IF(AND('Mapa final'!$AB$134="Baja",'Mapa final'!$AD$134="Catastrófico"),CONCATENATE("R44C",'Mapa final'!$R$134),"")</f>
        <v/>
      </c>
      <c r="X199" s="114" t="str">
        <f>IF(AND('Mapa final'!$AB$135="Baja",'Mapa final'!$AD$135="Catastrófico"),CONCATENATE("R44C",'Mapa final'!$R$135),"")</f>
        <v/>
      </c>
      <c r="Y199" s="58"/>
      <c r="Z199" s="389"/>
      <c r="AA199" s="390"/>
      <c r="AB199" s="390"/>
      <c r="AC199" s="390"/>
      <c r="AD199" s="390"/>
      <c r="AE199" s="391"/>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row>
    <row r="200" spans="1:65" ht="15" customHeight="1" x14ac:dyDescent="0.25">
      <c r="A200" s="58"/>
      <c r="B200" s="356"/>
      <c r="C200" s="356"/>
      <c r="D200" s="357"/>
      <c r="E200" s="371"/>
      <c r="F200" s="372"/>
      <c r="G200" s="372"/>
      <c r="H200" s="372"/>
      <c r="I200" s="370"/>
      <c r="J200" s="129" t="str">
        <f>IF(AND('Mapa final'!$AB$136="Baja",'Mapa final'!$AD$136="Leve"),CONCATENATE("R45C",'Mapa final'!$R$136),"")</f>
        <v/>
      </c>
      <c r="K200" s="56" t="str">
        <f>IF(AND('Mapa final'!$AB$137="Baja",'Mapa final'!$AD$137="Leve"),CONCATENATE("R45C",'Mapa final'!$R$137),"")</f>
        <v/>
      </c>
      <c r="L200" s="130" t="str">
        <f>IF(AND('Mapa final'!$AB$138="Baja",'Mapa final'!$AD$138="Leve"),CONCATENATE("R45C",'Mapa final'!$R$138),"")</f>
        <v/>
      </c>
      <c r="M200" s="51" t="str">
        <f>IF(AND('Mapa final'!$AB$136="Baja",'Mapa final'!$AD$136="Menor"),CONCATENATE("R45C",'Mapa final'!$R$136),"")</f>
        <v/>
      </c>
      <c r="N200" s="52" t="str">
        <f>IF(AND('Mapa final'!$AB$137="Baja",'Mapa final'!$AD$137="Menor"),CONCATENATE("R45C",'Mapa final'!$R$137),"")</f>
        <v/>
      </c>
      <c r="O200" s="125" t="str">
        <f>IF(AND('Mapa final'!$AB$138="Baja",'Mapa final'!$AD$138="Menor"),CONCATENATE("R45C",'Mapa final'!$R$138),"")</f>
        <v/>
      </c>
      <c r="P200" s="51" t="str">
        <f>IF(AND('Mapa final'!$AB$136="Baja",'Mapa final'!$AD$136="Moderado"),CONCATENATE("R45C",'Mapa final'!$R$136),"")</f>
        <v/>
      </c>
      <c r="Q200" s="52" t="str">
        <f>IF(AND('Mapa final'!$AB$137="Baja",'Mapa final'!$AD$137="Moderado"),CONCATENATE("R45C",'Mapa final'!$R$137),"")</f>
        <v/>
      </c>
      <c r="R200" s="125" t="str">
        <f>IF(AND('Mapa final'!$AB$138="Baja",'Mapa final'!$AD$138="Moderado"),CONCATENATE("R45C",'Mapa final'!$R$138),"")</f>
        <v/>
      </c>
      <c r="S200" s="119" t="str">
        <f>IF(AND('Mapa final'!$AB$136="Baja",'Mapa final'!$AD$136="Mayor"),CONCATENATE("R45C",'Mapa final'!$R$136),"")</f>
        <v/>
      </c>
      <c r="T200" s="44" t="str">
        <f>IF(AND('Mapa final'!$AB$137="Baja",'Mapa final'!$AD$137="Mayor"),CONCATENATE("R45C",'Mapa final'!$R$137),"")</f>
        <v/>
      </c>
      <c r="U200" s="120" t="str">
        <f>IF(AND('Mapa final'!$AB$138="Baja",'Mapa final'!$AD$138="Mayor"),CONCATENATE("R45C",'Mapa final'!$R$138),"")</f>
        <v/>
      </c>
      <c r="V200" s="45" t="str">
        <f>IF(AND('Mapa final'!$AB$136="Baja",'Mapa final'!$AD$136="Catastrófico"),CONCATENATE("R45C",'Mapa final'!$R$136),"")</f>
        <v/>
      </c>
      <c r="W200" s="46" t="str">
        <f>IF(AND('Mapa final'!$AB$137="Baja",'Mapa final'!$AD$137="Catastrófico"),CONCATENATE("R45C",'Mapa final'!$R$137),"")</f>
        <v/>
      </c>
      <c r="X200" s="114" t="str">
        <f>IF(AND('Mapa final'!$AB$138="Baja",'Mapa final'!$AD$138="Catastrófico"),CONCATENATE("R45C",'Mapa final'!$R$138),"")</f>
        <v/>
      </c>
      <c r="Y200" s="58"/>
      <c r="Z200" s="389"/>
      <c r="AA200" s="390"/>
      <c r="AB200" s="390"/>
      <c r="AC200" s="390"/>
      <c r="AD200" s="390"/>
      <c r="AE200" s="391"/>
      <c r="AF200" s="58"/>
      <c r="AG200" s="58"/>
      <c r="AH200" s="58"/>
      <c r="AI200" s="58"/>
      <c r="AJ200" s="58"/>
      <c r="AK200" s="58"/>
      <c r="AL200" s="58"/>
      <c r="AM200" s="58"/>
      <c r="AN200" s="58"/>
      <c r="AO200" s="58"/>
      <c r="AP200" s="58"/>
      <c r="AQ200" s="58"/>
      <c r="AR200" s="58"/>
      <c r="AS200" s="58"/>
      <c r="AT200" s="58"/>
      <c r="AU200" s="58"/>
      <c r="AV200" s="58"/>
      <c r="AW200" s="58"/>
      <c r="AX200" s="58"/>
      <c r="AY200" s="58"/>
      <c r="AZ200" s="58"/>
      <c r="BA200" s="58"/>
      <c r="BB200" s="58"/>
      <c r="BC200" s="58"/>
      <c r="BD200" s="58"/>
      <c r="BE200" s="58"/>
      <c r="BF200" s="58"/>
      <c r="BG200" s="58"/>
      <c r="BH200" s="58"/>
      <c r="BI200" s="58"/>
    </row>
    <row r="201" spans="1:65" ht="15" customHeight="1" x14ac:dyDescent="0.25">
      <c r="A201" s="58"/>
      <c r="B201" s="356"/>
      <c r="C201" s="356"/>
      <c r="D201" s="357"/>
      <c r="E201" s="371"/>
      <c r="F201" s="372"/>
      <c r="G201" s="372"/>
      <c r="H201" s="372"/>
      <c r="I201" s="370"/>
      <c r="J201" s="129" t="str">
        <f>IF(AND('Mapa final'!$AB$139="Baja",'Mapa final'!$AD$139="Leve"),CONCATENATE("R46C",'Mapa final'!$R$139),"")</f>
        <v/>
      </c>
      <c r="K201" s="56" t="str">
        <f>IF(AND('Mapa final'!$AB$140="Baja",'Mapa final'!$AD$140="Leve"),CONCATENATE("R46C",'Mapa final'!$R$140),"")</f>
        <v/>
      </c>
      <c r="L201" s="130" t="str">
        <f>IF(AND('Mapa final'!$AB$141="Baja",'Mapa final'!$AD$141="Leve"),CONCATENATE("R46C",'Mapa final'!$R$141),"")</f>
        <v/>
      </c>
      <c r="M201" s="51" t="str">
        <f>IF(AND('Mapa final'!$AB$139="Baja",'Mapa final'!$AD$139="Menor"),CONCATENATE("R46C",'Mapa final'!$R$139),"")</f>
        <v/>
      </c>
      <c r="N201" s="52" t="str">
        <f>IF(AND('Mapa final'!$AB$140="Baja",'Mapa final'!$AD$140="Menor"),CONCATENATE("R46C",'Mapa final'!$R$140),"")</f>
        <v/>
      </c>
      <c r="O201" s="125" t="str">
        <f>IF(AND('Mapa final'!$AB$141="Baja",'Mapa final'!$AD$141="Menor"),CONCATENATE("R46C",'Mapa final'!$R$141),"")</f>
        <v/>
      </c>
      <c r="P201" s="51" t="str">
        <f>IF(AND('Mapa final'!$AB$139="Baja",'Mapa final'!$AD$139="Moderado"),CONCATENATE("R46C",'Mapa final'!$R$139),"")</f>
        <v/>
      </c>
      <c r="Q201" s="52" t="str">
        <f>IF(AND('Mapa final'!$AB$140="Baja",'Mapa final'!$AD$140="Moderado"),CONCATENATE("R46C",'Mapa final'!$R$140),"")</f>
        <v/>
      </c>
      <c r="R201" s="125" t="str">
        <f>IF(AND('Mapa final'!$AB$141="Baja",'Mapa final'!$AD$141="Moderado"),CONCATENATE("R46C",'Mapa final'!$R$141),"")</f>
        <v/>
      </c>
      <c r="S201" s="119" t="str">
        <f>IF(AND('Mapa final'!$AB$139="Baja",'Mapa final'!$AD$139="Mayor"),CONCATENATE("R46C",'Mapa final'!$R$139),"")</f>
        <v/>
      </c>
      <c r="T201" s="44" t="str">
        <f>IF(AND('Mapa final'!$AB$140="Baja",'Mapa final'!$AD$140="Mayor"),CONCATENATE("R46C",'Mapa final'!$R$140),"")</f>
        <v/>
      </c>
      <c r="U201" s="120" t="str">
        <f>IF(AND('Mapa final'!$AB$141="Baja",'Mapa final'!$AD$141="Mayor"),CONCATENATE("R46C",'Mapa final'!$R$141),"")</f>
        <v/>
      </c>
      <c r="V201" s="45" t="str">
        <f>IF(AND('Mapa final'!$AB$139="Baja",'Mapa final'!$AD$139="Catastrófico"),CONCATENATE("R46C",'Mapa final'!$R$139),"")</f>
        <v/>
      </c>
      <c r="W201" s="46" t="str">
        <f>IF(AND('Mapa final'!$AB$140="Baja",'Mapa final'!$AD$140="Catastrófico"),CONCATENATE("R46C",'Mapa final'!$R$140),"")</f>
        <v/>
      </c>
      <c r="X201" s="114" t="str">
        <f>IF(AND('Mapa final'!$AB$141="Baja",'Mapa final'!$AD$141="Catastrófico"),CONCATENATE("R46C",'Mapa final'!$R$141),"")</f>
        <v/>
      </c>
      <c r="Y201" s="58"/>
      <c r="Z201" s="389"/>
      <c r="AA201" s="390"/>
      <c r="AB201" s="390"/>
      <c r="AC201" s="390"/>
      <c r="AD201" s="390"/>
      <c r="AE201" s="391"/>
      <c r="AF201" s="58"/>
      <c r="AG201" s="58"/>
      <c r="AH201" s="58"/>
      <c r="AI201" s="58"/>
      <c r="AJ201" s="58"/>
      <c r="AK201" s="58"/>
      <c r="AL201" s="58"/>
      <c r="AM201" s="58"/>
      <c r="AN201" s="58"/>
      <c r="AO201" s="58"/>
      <c r="AP201" s="58"/>
      <c r="AQ201" s="58"/>
      <c r="AR201" s="58"/>
      <c r="AS201" s="58"/>
      <c r="AT201" s="58"/>
      <c r="AU201" s="58"/>
      <c r="AV201" s="58"/>
      <c r="AW201" s="58"/>
      <c r="AX201" s="58"/>
      <c r="AY201" s="58"/>
      <c r="AZ201" s="58"/>
      <c r="BA201" s="58"/>
      <c r="BB201" s="58"/>
      <c r="BC201" s="58"/>
      <c r="BD201" s="58"/>
      <c r="BE201" s="58"/>
      <c r="BF201" s="58"/>
      <c r="BG201" s="58"/>
      <c r="BH201" s="58"/>
      <c r="BI201" s="58"/>
    </row>
    <row r="202" spans="1:65" ht="15" customHeight="1" x14ac:dyDescent="0.25">
      <c r="A202" s="58"/>
      <c r="B202" s="356"/>
      <c r="C202" s="356"/>
      <c r="D202" s="357"/>
      <c r="E202" s="371"/>
      <c r="F202" s="372"/>
      <c r="G202" s="372"/>
      <c r="H202" s="372"/>
      <c r="I202" s="370"/>
      <c r="J202" s="129" t="str">
        <f>IF(AND('Mapa final'!$AB$142="Baja",'Mapa final'!$AD$142="Leve"),CONCATENATE("R47C",'Mapa final'!$R$142),"")</f>
        <v/>
      </c>
      <c r="K202" s="56" t="str">
        <f>IF(AND('Mapa final'!$AB$143="Baja",'Mapa final'!$AD$143="Leve"),CONCATENATE("R47C",'Mapa final'!$R$143),"")</f>
        <v/>
      </c>
      <c r="L202" s="130" t="str">
        <f>IF(AND('Mapa final'!$AB$144="Baja",'Mapa final'!$AD$144="Leve"),CONCATENATE("R47C",'Mapa final'!$R$144),"")</f>
        <v/>
      </c>
      <c r="M202" s="51" t="str">
        <f>IF(AND('Mapa final'!$AB$142="Baja",'Mapa final'!$AD$142="Menor"),CONCATENATE("R47C",'Mapa final'!$R$142),"")</f>
        <v/>
      </c>
      <c r="N202" s="52" t="str">
        <f>IF(AND('Mapa final'!$AB$143="Baja",'Mapa final'!$AD$143="Menor"),CONCATENATE("R47C",'Mapa final'!$R$143),"")</f>
        <v/>
      </c>
      <c r="O202" s="125" t="str">
        <f>IF(AND('Mapa final'!$AB$144="Baja",'Mapa final'!$AD$144="Menor"),CONCATENATE("R47C",'Mapa final'!$R$144),"")</f>
        <v/>
      </c>
      <c r="P202" s="51" t="str">
        <f>IF(AND('Mapa final'!$AB$142="Baja",'Mapa final'!$AD$142="Moderado"),CONCATENATE("R47C",'Mapa final'!$R$142),"")</f>
        <v/>
      </c>
      <c r="Q202" s="52" t="str">
        <f>IF(AND('Mapa final'!$AB$143="Baja",'Mapa final'!$AD$143="Moderado"),CONCATENATE("R47C",'Mapa final'!$R$143),"")</f>
        <v/>
      </c>
      <c r="R202" s="125" t="str">
        <f>IF(AND('Mapa final'!$AB$144="Baja",'Mapa final'!$AD$144="Moderado"),CONCATENATE("R47C",'Mapa final'!$R$144),"")</f>
        <v/>
      </c>
      <c r="S202" s="119" t="str">
        <f>IF(AND('Mapa final'!$AB$142="Baja",'Mapa final'!$AD$142="Mayor"),CONCATENATE("R47C",'Mapa final'!$R$142),"")</f>
        <v/>
      </c>
      <c r="T202" s="44" t="str">
        <f>IF(AND('Mapa final'!$AB$143="Baja",'Mapa final'!$AD$143="Mayor"),CONCATENATE("R47C",'Mapa final'!$R$143),"")</f>
        <v/>
      </c>
      <c r="U202" s="120" t="str">
        <f>IF(AND('Mapa final'!$AB$144="Baja",'Mapa final'!$AD$144="Mayor"),CONCATENATE("R47C",'Mapa final'!$R$144),"")</f>
        <v/>
      </c>
      <c r="V202" s="45" t="str">
        <f>IF(AND('Mapa final'!$AB$142="Baja",'Mapa final'!$AD$142="Catastrófico"),CONCATENATE("R47C",'Mapa final'!$R$142),"")</f>
        <v/>
      </c>
      <c r="W202" s="46" t="str">
        <f>IF(AND('Mapa final'!$AB$143="Baja",'Mapa final'!$AD$143="Catastrófico"),CONCATENATE("R47C",'Mapa final'!$R$143),"")</f>
        <v/>
      </c>
      <c r="X202" s="114" t="str">
        <f>IF(AND('Mapa final'!$AB$144="Baja",'Mapa final'!$AD$144="Catastrófico"),CONCATENATE("R47C",'Mapa final'!$R$144),"")</f>
        <v/>
      </c>
      <c r="Y202" s="58"/>
      <c r="Z202" s="389"/>
      <c r="AA202" s="390"/>
      <c r="AB202" s="390"/>
      <c r="AC202" s="390"/>
      <c r="AD202" s="390"/>
      <c r="AE202" s="391"/>
      <c r="AF202" s="58"/>
      <c r="AG202" s="58"/>
      <c r="AH202" s="58"/>
      <c r="AI202" s="58"/>
      <c r="AJ202" s="58"/>
      <c r="AK202" s="58"/>
      <c r="AL202" s="58"/>
      <c r="AM202" s="58"/>
      <c r="AN202" s="58"/>
      <c r="AO202" s="58"/>
      <c r="AP202" s="58"/>
      <c r="AQ202" s="58"/>
      <c r="AR202" s="58"/>
      <c r="AS202" s="58"/>
      <c r="AT202" s="58"/>
      <c r="AU202" s="58"/>
      <c r="AV202" s="58"/>
      <c r="AW202" s="58"/>
      <c r="AX202" s="58"/>
      <c r="AY202" s="58"/>
      <c r="AZ202" s="58"/>
      <c r="BA202" s="58"/>
      <c r="BB202" s="58"/>
      <c r="BC202" s="58"/>
      <c r="BD202" s="58"/>
      <c r="BE202" s="58"/>
      <c r="BF202" s="58"/>
      <c r="BG202" s="58"/>
      <c r="BH202" s="58"/>
      <c r="BI202" s="58"/>
    </row>
    <row r="203" spans="1:65" ht="15" customHeight="1" x14ac:dyDescent="0.25">
      <c r="A203" s="58"/>
      <c r="B203" s="356"/>
      <c r="C203" s="356"/>
      <c r="D203" s="357"/>
      <c r="E203" s="371"/>
      <c r="F203" s="372"/>
      <c r="G203" s="372"/>
      <c r="H203" s="372"/>
      <c r="I203" s="370"/>
      <c r="J203" s="129" t="str">
        <f>IF(AND('Mapa final'!$AB$145="Baja",'Mapa final'!$AD$145="Leve"),CONCATENATE("R48C",'Mapa final'!$R$145),"")</f>
        <v/>
      </c>
      <c r="K203" s="56" t="str">
        <f>IF(AND('Mapa final'!$AB$146="Baja",'Mapa final'!$AD$146="Leve"),CONCATENATE("R48C",'Mapa final'!$R$146),"")</f>
        <v/>
      </c>
      <c r="L203" s="130" t="str">
        <f>IF(AND('Mapa final'!$AB$147="Baja",'Mapa final'!$AD$147="Leve"),CONCATENATE("R48C",'Mapa final'!$R$147),"")</f>
        <v/>
      </c>
      <c r="M203" s="51" t="str">
        <f>IF(AND('Mapa final'!$AB$145="Baja",'Mapa final'!$AD$145="Menor"),CONCATENATE("R48C",'Mapa final'!$R$145),"")</f>
        <v/>
      </c>
      <c r="N203" s="52" t="str">
        <f>IF(AND('Mapa final'!$AB$146="Baja",'Mapa final'!$AD$146="Menor"),CONCATENATE("R48C",'Mapa final'!$R$146),"")</f>
        <v/>
      </c>
      <c r="O203" s="125" t="str">
        <f>IF(AND('Mapa final'!$AB$147="Baja",'Mapa final'!$AD$147="Menor"),CONCATENATE("R48C",'Mapa final'!$R$147),"")</f>
        <v/>
      </c>
      <c r="P203" s="51" t="str">
        <f>IF(AND('Mapa final'!$AB$145="Baja",'Mapa final'!$AD$145="Moderado"),CONCATENATE("R48C",'Mapa final'!$R$145),"")</f>
        <v/>
      </c>
      <c r="Q203" s="52" t="str">
        <f>IF(AND('Mapa final'!$AB$146="Baja",'Mapa final'!$AD$146="Moderado"),CONCATENATE("R48C",'Mapa final'!$R$146),"")</f>
        <v/>
      </c>
      <c r="R203" s="125" t="str">
        <f>IF(AND('Mapa final'!$AB$147="Baja",'Mapa final'!$AD$147="Moderado"),CONCATENATE("R48C",'Mapa final'!$R$147),"")</f>
        <v/>
      </c>
      <c r="S203" s="119" t="str">
        <f>IF(AND('Mapa final'!$AB$145="Baja",'Mapa final'!$AD$145="Mayor"),CONCATENATE("R48C",'Mapa final'!$R$145),"")</f>
        <v/>
      </c>
      <c r="T203" s="44" t="str">
        <f>IF(AND('Mapa final'!$AB$146="Baja",'Mapa final'!$AD$146="Mayor"),CONCATENATE("R48C",'Mapa final'!$R$146),"")</f>
        <v/>
      </c>
      <c r="U203" s="120" t="str">
        <f>IF(AND('Mapa final'!$AB$147="Baja",'Mapa final'!$AD$147="Mayor"),CONCATENATE("R48C",'Mapa final'!$R$147),"")</f>
        <v/>
      </c>
      <c r="V203" s="45" t="str">
        <f>IF(AND('Mapa final'!$AB$145="Baja",'Mapa final'!$AD$145="Catastrófico"),CONCATENATE("R48C",'Mapa final'!$R$145),"")</f>
        <v/>
      </c>
      <c r="W203" s="46" t="str">
        <f>IF(AND('Mapa final'!$AB$146="Baja",'Mapa final'!$AD$146="Catastrófico"),CONCATENATE("R48C",'Mapa final'!$R$146),"")</f>
        <v/>
      </c>
      <c r="X203" s="114" t="str">
        <f>IF(AND('Mapa final'!$AB$147="Baja",'Mapa final'!$AD$147="Catastrófico"),CONCATENATE("R48C",'Mapa final'!$R$147),"")</f>
        <v/>
      </c>
      <c r="Y203" s="58"/>
      <c r="Z203" s="389"/>
      <c r="AA203" s="390"/>
      <c r="AB203" s="390"/>
      <c r="AC203" s="390"/>
      <c r="AD203" s="390"/>
      <c r="AE203" s="391"/>
      <c r="AF203" s="58"/>
      <c r="AG203" s="58"/>
      <c r="AH203" s="58"/>
      <c r="AI203" s="58"/>
      <c r="AJ203" s="58"/>
      <c r="AK203" s="58"/>
      <c r="AL203" s="58"/>
      <c r="AM203" s="58"/>
      <c r="AN203" s="58"/>
      <c r="AO203" s="58"/>
      <c r="AP203" s="58"/>
      <c r="AQ203" s="58"/>
      <c r="AR203" s="58"/>
      <c r="AS203" s="58"/>
      <c r="AT203" s="58"/>
      <c r="AU203" s="58"/>
      <c r="AV203" s="58"/>
      <c r="AW203" s="58"/>
      <c r="AX203" s="58"/>
      <c r="AY203" s="58"/>
      <c r="AZ203" s="58"/>
      <c r="BA203" s="58"/>
      <c r="BB203" s="58"/>
      <c r="BC203" s="58"/>
      <c r="BD203" s="58"/>
      <c r="BE203" s="58"/>
      <c r="BF203" s="58"/>
      <c r="BG203" s="58"/>
      <c r="BH203" s="58"/>
      <c r="BI203" s="58"/>
    </row>
    <row r="204" spans="1:65" ht="15" customHeight="1" x14ac:dyDescent="0.25">
      <c r="A204" s="58"/>
      <c r="B204" s="356"/>
      <c r="C204" s="356"/>
      <c r="D204" s="357"/>
      <c r="E204" s="371"/>
      <c r="F204" s="372"/>
      <c r="G204" s="372"/>
      <c r="H204" s="372"/>
      <c r="I204" s="370"/>
      <c r="J204" s="129" t="str">
        <f>IF(AND('Mapa final'!$AB$148="Baja",'Mapa final'!$AD$148="Leve"),CONCATENATE("R49C",'Mapa final'!$R$148),"")</f>
        <v/>
      </c>
      <c r="K204" s="56" t="str">
        <f>IF(AND('Mapa final'!$AB$149="Baja",'Mapa final'!$AD$149="Leve"),CONCATENATE("R49C",'Mapa final'!$R$149),"")</f>
        <v/>
      </c>
      <c r="L204" s="130" t="str">
        <f>IF(AND('Mapa final'!$AB$150="Baja",'Mapa final'!$AD$150="Leve"),CONCATENATE("R49C",'Mapa final'!$R$150),"")</f>
        <v/>
      </c>
      <c r="M204" s="51" t="str">
        <f>IF(AND('Mapa final'!$AB$148="Baja",'Mapa final'!$AD$148="Menor"),CONCATENATE("R49C",'Mapa final'!$R$148),"")</f>
        <v/>
      </c>
      <c r="N204" s="52" t="str">
        <f>IF(AND('Mapa final'!$AB$149="Baja",'Mapa final'!$AD$149="Menor"),CONCATENATE("R49C",'Mapa final'!$R$149),"")</f>
        <v/>
      </c>
      <c r="O204" s="125" t="str">
        <f>IF(AND('Mapa final'!$AB$150="Baja",'Mapa final'!$AD$150="Menor"),CONCATENATE("R49C",'Mapa final'!$R$150),"")</f>
        <v/>
      </c>
      <c r="P204" s="51" t="str">
        <f>IF(AND('Mapa final'!$AB$148="Baja",'Mapa final'!$AD$148="Moderado"),CONCATENATE("R49C",'Mapa final'!$R$148),"")</f>
        <v/>
      </c>
      <c r="Q204" s="52" t="str">
        <f>IF(AND('Mapa final'!$AB$149="Baja",'Mapa final'!$AD$149="Moderado"),CONCATENATE("R49C",'Mapa final'!$R$149),"")</f>
        <v/>
      </c>
      <c r="R204" s="125" t="str">
        <f>IF(AND('Mapa final'!$AB$150="Baja",'Mapa final'!$AD$150="Moderado"),CONCATENATE("R49C",'Mapa final'!$R$150),"")</f>
        <v/>
      </c>
      <c r="S204" s="119" t="str">
        <f>IF(AND('Mapa final'!$AB$148="Baja",'Mapa final'!$AD$148="Mayor"),CONCATENATE("R49C",'Mapa final'!$R$148),"")</f>
        <v/>
      </c>
      <c r="T204" s="44" t="str">
        <f>IF(AND('Mapa final'!$AB$149="Baja",'Mapa final'!$AD$149="Mayor"),CONCATENATE("R49C",'Mapa final'!$R$149),"")</f>
        <v/>
      </c>
      <c r="U204" s="120" t="str">
        <f>IF(AND('Mapa final'!$AB$150="Baja",'Mapa final'!$AD$150="Mayor"),CONCATENATE("R49C",'Mapa final'!$R$150),"")</f>
        <v/>
      </c>
      <c r="V204" s="45" t="str">
        <f>IF(AND('Mapa final'!$AB$148="Baja",'Mapa final'!$AD$148="Catastrófico"),CONCATENATE("R49C",'Mapa final'!$R$148),"")</f>
        <v/>
      </c>
      <c r="W204" s="46" t="str">
        <f>IF(AND('Mapa final'!$AB$149="Baja",'Mapa final'!$AD$149="Catastrófico"),CONCATENATE("R49C",'Mapa final'!$R$149),"")</f>
        <v/>
      </c>
      <c r="X204" s="114" t="str">
        <f>IF(AND('Mapa final'!$AB$150="Baja",'Mapa final'!$AD$150="Catastrófico"),CONCATENATE("R49C",'Mapa final'!$R$150),"")</f>
        <v/>
      </c>
      <c r="Y204" s="58"/>
      <c r="Z204" s="389"/>
      <c r="AA204" s="390"/>
      <c r="AB204" s="390"/>
      <c r="AC204" s="390"/>
      <c r="AD204" s="390"/>
      <c r="AE204" s="391"/>
      <c r="AF204" s="58"/>
      <c r="AG204" s="58"/>
      <c r="AH204" s="58"/>
      <c r="AI204" s="58"/>
      <c r="AJ204" s="58"/>
      <c r="AK204" s="58"/>
      <c r="AL204" s="58"/>
      <c r="AM204" s="58"/>
      <c r="AN204" s="58"/>
      <c r="AO204" s="58"/>
      <c r="AP204" s="58"/>
      <c r="AQ204" s="58"/>
      <c r="AR204" s="58"/>
      <c r="AS204" s="58"/>
      <c r="AT204" s="58"/>
      <c r="AU204" s="58"/>
      <c r="AV204" s="58"/>
      <c r="AW204" s="58"/>
      <c r="AX204" s="58"/>
      <c r="AY204" s="58"/>
      <c r="AZ204" s="58"/>
      <c r="BA204" s="58"/>
      <c r="BB204" s="58"/>
      <c r="BC204" s="58"/>
      <c r="BD204" s="58"/>
      <c r="BE204" s="58"/>
      <c r="BF204" s="58"/>
      <c r="BG204" s="58"/>
      <c r="BH204" s="58"/>
      <c r="BI204" s="58"/>
    </row>
    <row r="205" spans="1:65" ht="15.75" customHeight="1" thickBot="1" x14ac:dyDescent="0.3">
      <c r="A205" s="58"/>
      <c r="B205" s="356"/>
      <c r="C205" s="356"/>
      <c r="D205" s="357"/>
      <c r="E205" s="373"/>
      <c r="F205" s="374"/>
      <c r="G205" s="374"/>
      <c r="H205" s="374"/>
      <c r="I205" s="374"/>
      <c r="J205" s="131" t="str">
        <f>IF(AND('Mapa final'!$AB$151="Baja",'Mapa final'!$AD$151="Leve"),CONCATENATE("R50C",'Mapa final'!$R$151),"")</f>
        <v/>
      </c>
      <c r="K205" s="57" t="str">
        <f>IF(AND('Mapa final'!$AB$152="Baja",'Mapa final'!$AD$152="Leve"),CONCATENATE("R50C",'Mapa final'!$R$152),"")</f>
        <v/>
      </c>
      <c r="L205" s="132" t="str">
        <f>IF(AND('Mapa final'!$AB$153="Baja",'Mapa final'!$AD$153="Leve"),CONCATENATE("R50C",'Mapa final'!$R$153),"")</f>
        <v/>
      </c>
      <c r="M205" s="53" t="str">
        <f>IF(AND('Mapa final'!$AB$151="Baja",'Mapa final'!$AD$151="Menor"),CONCATENATE("R50C",'Mapa final'!$R$151),"")</f>
        <v/>
      </c>
      <c r="N205" s="54" t="str">
        <f>IF(AND('Mapa final'!$AB$152="Baja",'Mapa final'!$AD$152="Menor"),CONCATENATE("R50C",'Mapa final'!$R$152),"")</f>
        <v/>
      </c>
      <c r="O205" s="126" t="str">
        <f>IF(AND('Mapa final'!$AB$153="Baja",'Mapa final'!$AD$153="Menor"),CONCATENATE("R50C",'Mapa final'!$R$153),"")</f>
        <v/>
      </c>
      <c r="P205" s="53" t="str">
        <f>IF(AND('Mapa final'!$AB$151="Baja",'Mapa final'!$AD$151="Moderado"),CONCATENATE("R50C",'Mapa final'!$R$151),"")</f>
        <v/>
      </c>
      <c r="Q205" s="54" t="str">
        <f>IF(AND('Mapa final'!$AB$152="Baja",'Mapa final'!$AD$152="Moderado"),CONCATENATE("R50C",'Mapa final'!$R$152),"")</f>
        <v/>
      </c>
      <c r="R205" s="126" t="str">
        <f>IF(AND('Mapa final'!$AB$153="Baja",'Mapa final'!$AD$153="Moderado"),CONCATENATE("R50C",'Mapa final'!$R$153),"")</f>
        <v/>
      </c>
      <c r="S205" s="121" t="str">
        <f>IF(AND('Mapa final'!$AB$151="Baja",'Mapa final'!$AD$151="Mayor"),CONCATENATE("R50C",'Mapa final'!$R$151),"")</f>
        <v/>
      </c>
      <c r="T205" s="122" t="str">
        <f>IF(AND('Mapa final'!$AB$152="Baja",'Mapa final'!$AD$152="Mayor"),CONCATENATE("R50C",'Mapa final'!$R$152),"")</f>
        <v/>
      </c>
      <c r="U205" s="123" t="str">
        <f>IF(AND('Mapa final'!$AB$153="Baja",'Mapa final'!$AD$153="Mayor"),CONCATENATE("R50C",'Mapa final'!$R$153),"")</f>
        <v/>
      </c>
      <c r="V205" s="47" t="str">
        <f>IF(AND('Mapa final'!$AB$151="Baja",'Mapa final'!$AD$151="Catastrófico"),CONCATENATE("R50C",'Mapa final'!$R$151),"")</f>
        <v/>
      </c>
      <c r="W205" s="48" t="str">
        <f>IF(AND('Mapa final'!$AB$152="Baja",'Mapa final'!$AD$152="Catastrófico"),CONCATENATE("R50C",'Mapa final'!$R$152),"")</f>
        <v/>
      </c>
      <c r="X205" s="115" t="str">
        <f>IF(AND('Mapa final'!$AB$153="Baja",'Mapa final'!$AD$153="Catastrófico"),CONCATENATE("R50C",'Mapa final'!$R$153),"")</f>
        <v/>
      </c>
      <c r="Y205" s="58"/>
      <c r="Z205" s="392"/>
      <c r="AA205" s="393"/>
      <c r="AB205" s="393"/>
      <c r="AC205" s="393"/>
      <c r="AD205" s="393"/>
      <c r="AE205" s="394"/>
    </row>
    <row r="206" spans="1:65" ht="16.5" customHeight="1" x14ac:dyDescent="0.25">
      <c r="A206" s="58"/>
      <c r="B206" s="356"/>
      <c r="C206" s="356"/>
      <c r="D206" s="357"/>
      <c r="E206" s="367" t="s">
        <v>107</v>
      </c>
      <c r="F206" s="368"/>
      <c r="G206" s="368"/>
      <c r="H206" s="368"/>
      <c r="I206" s="368"/>
      <c r="J206" s="127" t="str">
        <f>IF(AND('Mapa final'!$AB$7="Muy Baja",'Mapa final'!$AD$7="Leve"),CONCATENATE("R1C",'Mapa final'!$R$7),"")</f>
        <v/>
      </c>
      <c r="K206" s="55" t="str">
        <f>IF(AND('Mapa final'!$AB$8="Muy Baja",'Mapa final'!$AD$8="Leve"),CONCATENATE("R1C",'Mapa final'!$R$8),"")</f>
        <v/>
      </c>
      <c r="L206" s="128" t="str">
        <f>IF(AND('Mapa final'!$AB$9="Muy Baja",'Mapa final'!$AD$9="Leve"),CONCATENATE("R1C",'Mapa final'!$R$9),"")</f>
        <v/>
      </c>
      <c r="M206" s="127" t="str">
        <f>IF(AND('Mapa final'!$AB$7="Muy Baja",'Mapa final'!$AD$7="Menor"),CONCATENATE("R1C",'Mapa final'!$R$7),"")</f>
        <v/>
      </c>
      <c r="N206" s="55" t="str">
        <f>IF(AND('Mapa final'!$AB$8="Muy Baja",'Mapa final'!$AD$8="Menor"),CONCATENATE("R1C",'Mapa final'!$R$8),"")</f>
        <v/>
      </c>
      <c r="O206" s="128" t="str">
        <f>IF(AND('Mapa final'!$AB$9="Muy Baja",'Mapa final'!$AD$9="Menor"),CONCATENATE("R1C",'Mapa final'!$R$9),"")</f>
        <v/>
      </c>
      <c r="P206" s="49" t="str">
        <f>IF(AND('Mapa final'!$AB$7="Muy Baja",'Mapa final'!$AD$7="Moderado"),CONCATENATE("R1C",'Mapa final'!$R$7),"")</f>
        <v/>
      </c>
      <c r="Q206" s="50" t="str">
        <f>IF(AND('Mapa final'!$AB$8="Muy Baja",'Mapa final'!$AD$8="Moderado"),CONCATENATE("R1C",'Mapa final'!$R$8),"")</f>
        <v/>
      </c>
      <c r="R206" s="124" t="str">
        <f>IF(AND('Mapa final'!$AB$9="Muy Baja",'Mapa final'!$AD$9="Moderado"),CONCATENATE("R1C",'Mapa final'!$R$9),"")</f>
        <v/>
      </c>
      <c r="S206" s="116" t="str">
        <f>IF(AND('Mapa final'!$AB$7="Muy Baja",'Mapa final'!$AD$7="Mayor"),CONCATENATE("R1C",'Mapa final'!$R$7),"")</f>
        <v/>
      </c>
      <c r="T206" s="117" t="str">
        <f>IF(AND('Mapa final'!$AB$8="Muy Baja",'Mapa final'!$AD$8="Mayor"),CONCATENATE("R1C",'Mapa final'!$R$8),"")</f>
        <v/>
      </c>
      <c r="U206" s="118" t="str">
        <f>IF(AND('Mapa final'!$AB$9="Muy Baja",'Mapa final'!$AD$9="Mayor"),CONCATENATE("R1C",'Mapa final'!$R$9),"")</f>
        <v/>
      </c>
      <c r="V206" s="45" t="str">
        <f>IF(AND('Mapa final'!$AB$7="Muy Baja",'Mapa final'!$AD$7="Catastrófico"),CONCATENATE("R1C",'Mapa final'!$R$7),"")</f>
        <v/>
      </c>
      <c r="W206" s="46" t="str">
        <f>IF(AND('Mapa final'!$AB$8="Muy Baja",'Mapa final'!$AD$8="Catastrófico"),CONCATENATE("R1C",'Mapa final'!$R$8),"")</f>
        <v/>
      </c>
      <c r="X206" s="114" t="str">
        <f>IF(AND('Mapa final'!$AB$9="Muy Baja",'Mapa final'!$AD$9="Catastrófico"),CONCATENATE("R1C",'Mapa final'!$R$9),"")</f>
        <v/>
      </c>
      <c r="Y206" s="58"/>
      <c r="Z206" s="58"/>
      <c r="AA206" s="58"/>
      <c r="AB206" s="58"/>
      <c r="AC206" s="58"/>
      <c r="AD206" s="58"/>
      <c r="AE206" s="58"/>
      <c r="AF206" s="58"/>
      <c r="AG206" s="58"/>
      <c r="AH206" s="58"/>
      <c r="AI206" s="58"/>
      <c r="AJ206" s="58"/>
      <c r="AK206" s="58"/>
      <c r="AL206" s="58"/>
      <c r="AM206" s="58"/>
      <c r="AN206" s="58"/>
      <c r="AO206" s="58"/>
      <c r="AP206" s="58"/>
      <c r="AQ206" s="58"/>
      <c r="AR206" s="58"/>
      <c r="AS206" s="58"/>
      <c r="AT206" s="58"/>
      <c r="AU206" s="58"/>
      <c r="AV206" s="58"/>
      <c r="AW206" s="58"/>
      <c r="AX206" s="58"/>
      <c r="AY206" s="58"/>
      <c r="AZ206" s="58"/>
      <c r="BA206" s="58"/>
      <c r="BB206" s="58"/>
      <c r="BC206" s="58"/>
      <c r="BD206" s="58"/>
      <c r="BE206" s="58"/>
      <c r="BF206" s="58"/>
      <c r="BG206" s="58"/>
      <c r="BH206" s="58"/>
      <c r="BI206" s="58"/>
      <c r="BJ206" s="58"/>
      <c r="BK206" s="58"/>
      <c r="BL206" s="58"/>
      <c r="BM206" s="58"/>
    </row>
    <row r="207" spans="1:65" ht="15.75" x14ac:dyDescent="0.25">
      <c r="A207" s="58"/>
      <c r="B207" s="356"/>
      <c r="C207" s="356"/>
      <c r="D207" s="357"/>
      <c r="E207" s="369"/>
      <c r="F207" s="370"/>
      <c r="G207" s="370"/>
      <c r="H207" s="370"/>
      <c r="I207" s="370"/>
      <c r="J207" s="129" t="str">
        <f>IF(AND('Mapa final'!$AB$10="Muy Baja",'Mapa final'!$AD$10="Leve"),CONCATENATE("R2C",'Mapa final'!$R$10),"")</f>
        <v/>
      </c>
      <c r="K207" s="56" t="str">
        <f>IF(AND('Mapa final'!$AB$11="Muy Baja",'Mapa final'!$AD$11="Leve"),CONCATENATE("R2C",'Mapa final'!$R$11),"")</f>
        <v/>
      </c>
      <c r="L207" s="130" t="str">
        <f>IF(AND('Mapa final'!$AB$12="Muy Baja",'Mapa final'!$AD$12="Leve"),CONCATENATE("R2C",'Mapa final'!$R$12),"")</f>
        <v/>
      </c>
      <c r="M207" s="129" t="str">
        <f>IF(AND('Mapa final'!$AB$10="Muy Baja",'Mapa final'!$AD$10="Menor"),CONCATENATE("R2C",'Mapa final'!$R$10),"")</f>
        <v/>
      </c>
      <c r="N207" s="56" t="str">
        <f>IF(AND('Mapa final'!$AB$11="Muy Baja",'Mapa final'!$AD$11="Menor"),CONCATENATE("R2C",'Mapa final'!$R$11),"")</f>
        <v/>
      </c>
      <c r="O207" s="130" t="str">
        <f>IF(AND('Mapa final'!$AB$12="Muy Baja",'Mapa final'!$AD$12="Menor"),CONCATENATE("R2C",'Mapa final'!$R$12),"")</f>
        <v/>
      </c>
      <c r="P207" s="51" t="str">
        <f>IF(AND('Mapa final'!$AB$10="Muy Baja",'Mapa final'!$AD$10="Moderado"),CONCATENATE("R2C",'Mapa final'!$R$10),"")</f>
        <v/>
      </c>
      <c r="Q207" s="52" t="str">
        <f>IF(AND('Mapa final'!$AB$11="Muy Baja",'Mapa final'!$AD$11="Moderado"),CONCATENATE("R2C",'Mapa final'!$R$11),"")</f>
        <v/>
      </c>
      <c r="R207" s="125" t="str">
        <f>IF(AND('Mapa final'!$AB$12="Muy Baja",'Mapa final'!$AD$12="Moderado"),CONCATENATE("R2C",'Mapa final'!$R$12),"")</f>
        <v/>
      </c>
      <c r="S207" s="119" t="str">
        <f>IF(AND('Mapa final'!$AB$10="Muy Baja",'Mapa final'!$AD$10="Mayor"),CONCATENATE("R2C",'Mapa final'!$R$10),"")</f>
        <v/>
      </c>
      <c r="T207" s="44" t="str">
        <f>IF(AND('Mapa final'!$AB$11="Muy Baja",'Mapa final'!$AD$11="Mayor"),CONCATENATE("R2C",'Mapa final'!$R$11),"")</f>
        <v/>
      </c>
      <c r="U207" s="120" t="str">
        <f>IF(AND('Mapa final'!$AB$12="Muy Baja",'Mapa final'!$AD$12="Mayor"),CONCATENATE("R2C",'Mapa final'!$R$12),"")</f>
        <v/>
      </c>
      <c r="V207" s="45" t="str">
        <f>IF(AND('Mapa final'!$AB$10="Muy Baja",'Mapa final'!$AD$10="Catastrófico"),CONCATENATE("R2C",'Mapa final'!$R$10),"")</f>
        <v/>
      </c>
      <c r="W207" s="46" t="str">
        <f>IF(AND('Mapa final'!$AB$11="Muy Baja",'Mapa final'!$AD$11="Catastrófico"),CONCATENATE("R2C",'Mapa final'!$R$11),"")</f>
        <v/>
      </c>
      <c r="X207" s="114" t="str">
        <f>IF(AND('Mapa final'!$AB$12="Muy Baja",'Mapa final'!$AD$12="Catastrófico"),CONCATENATE("R2C",'Mapa final'!$R$12),"")</f>
        <v/>
      </c>
      <c r="Y207" s="58"/>
      <c r="Z207" s="58"/>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c r="AY207" s="58"/>
      <c r="AZ207" s="58"/>
      <c r="BA207" s="58"/>
      <c r="BB207" s="58"/>
      <c r="BC207" s="58"/>
      <c r="BD207" s="58"/>
      <c r="BE207" s="58"/>
      <c r="BF207" s="58"/>
      <c r="BG207" s="58"/>
      <c r="BH207" s="58"/>
      <c r="BI207" s="58"/>
      <c r="BJ207" s="58"/>
      <c r="BK207" s="58"/>
      <c r="BL207" s="58"/>
      <c r="BM207" s="58"/>
    </row>
    <row r="208" spans="1:65" ht="15.75" x14ac:dyDescent="0.25">
      <c r="A208" s="58"/>
      <c r="B208" s="356"/>
      <c r="C208" s="356"/>
      <c r="D208" s="357"/>
      <c r="E208" s="369"/>
      <c r="F208" s="370"/>
      <c r="G208" s="370"/>
      <c r="H208" s="370"/>
      <c r="I208" s="370"/>
      <c r="J208" s="129" t="str">
        <f>IF(AND('Mapa final'!$AB$13="Muy Baja",'Mapa final'!$AD$13="Leve"),CONCATENATE("R3C",'Mapa final'!$R$13),"")</f>
        <v/>
      </c>
      <c r="K208" s="56" t="str">
        <f>IF(AND('Mapa final'!$AB$14="Muy Baja",'Mapa final'!$AD$14="Leve"),CONCATENATE("R3C",'Mapa final'!$R$14),"")</f>
        <v/>
      </c>
      <c r="L208" s="130" t="str">
        <f>IF(AND('Mapa final'!$AB$15="Muy Baja",'Mapa final'!$AD$15="Leve"),CONCATENATE("R3C",'Mapa final'!$R$15),"")</f>
        <v/>
      </c>
      <c r="M208" s="129" t="str">
        <f>IF(AND('Mapa final'!$AB$13="Muy Baja",'Mapa final'!$AD$13="Menor"),CONCATENATE("R3C",'Mapa final'!$R$13),"")</f>
        <v/>
      </c>
      <c r="N208" s="56" t="str">
        <f>IF(AND('Mapa final'!$AB$14="Muy Baja",'Mapa final'!$AD$14="Menor"),CONCATENATE("R3C",'Mapa final'!$R$14),"")</f>
        <v/>
      </c>
      <c r="O208" s="130" t="str">
        <f>IF(AND('Mapa final'!$AB$15="Muy Baja",'Mapa final'!$AD$15="Menor"),CONCATENATE("R3C",'Mapa final'!$R$15),"")</f>
        <v/>
      </c>
      <c r="P208" s="51" t="str">
        <f>IF(AND('Mapa final'!$AB$13="Muy Baja",'Mapa final'!$AD$13="Moderado"),CONCATENATE("R3C",'Mapa final'!$R$13),"")</f>
        <v/>
      </c>
      <c r="Q208" s="52" t="str">
        <f>IF(AND('Mapa final'!$AB$14="Muy Baja",'Mapa final'!$AD$14="Moderado"),CONCATENATE("R3C",'Mapa final'!$R$14),"")</f>
        <v/>
      </c>
      <c r="R208" s="125" t="str">
        <f>IF(AND('Mapa final'!$AB$15="Muy Baja",'Mapa final'!$AD$15="Moderado"),CONCATENATE("R3C",'Mapa final'!$R$15),"")</f>
        <v/>
      </c>
      <c r="S208" s="119" t="str">
        <f>IF(AND('Mapa final'!$AB$13="Muy Baja",'Mapa final'!$AD$13="Mayor"),CONCATENATE("R3C",'Mapa final'!$R$13),"")</f>
        <v/>
      </c>
      <c r="T208" s="44" t="str">
        <f>IF(AND('Mapa final'!$AB$14="Muy Baja",'Mapa final'!$AD$14="Mayor"),CONCATENATE("R3C",'Mapa final'!$R$14),"")</f>
        <v/>
      </c>
      <c r="U208" s="120" t="str">
        <f>IF(AND('Mapa final'!$AB$15="Muy Baja",'Mapa final'!$AD$15="Mayor"),CONCATENATE("R3C",'Mapa final'!$R$15),"")</f>
        <v/>
      </c>
      <c r="V208" s="45" t="str">
        <f>IF(AND('Mapa final'!$AB$13="Muy Baja",'Mapa final'!$AD$13="Catastrófico"),CONCATENATE("R3C",'Mapa final'!$R$13),"")</f>
        <v/>
      </c>
      <c r="W208" s="46" t="str">
        <f>IF(AND('Mapa final'!$AB$14="Muy Baja",'Mapa final'!$AD$14="Catastrófico"),CONCATENATE("R3C",'Mapa final'!$R$14),"")</f>
        <v/>
      </c>
      <c r="X208" s="114" t="str">
        <f>IF(AND('Mapa final'!$AB$15="Muy Baja",'Mapa final'!$AD$15="Catastrófico"),CONCATENATE("R3C",'Mapa final'!$R$15),"")</f>
        <v/>
      </c>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c r="AY208" s="58"/>
      <c r="AZ208" s="58"/>
      <c r="BA208" s="58"/>
      <c r="BB208" s="58"/>
      <c r="BC208" s="58"/>
      <c r="BD208" s="58"/>
      <c r="BE208" s="58"/>
      <c r="BF208" s="58"/>
      <c r="BG208" s="58"/>
      <c r="BH208" s="58"/>
      <c r="BI208" s="58"/>
      <c r="BJ208" s="58"/>
      <c r="BK208" s="58"/>
      <c r="BL208" s="58"/>
      <c r="BM208" s="58"/>
    </row>
    <row r="209" spans="1:65" ht="15.75" x14ac:dyDescent="0.25">
      <c r="A209" s="58"/>
      <c r="B209" s="356"/>
      <c r="C209" s="356"/>
      <c r="D209" s="357"/>
      <c r="E209" s="369"/>
      <c r="F209" s="370"/>
      <c r="G209" s="370"/>
      <c r="H209" s="370"/>
      <c r="I209" s="370"/>
      <c r="J209" s="129" t="str">
        <f>IF(AND('Mapa final'!$AB$16="Muy Baja",'Mapa final'!$AD$16="Leve"),CONCATENATE("R4C",'Mapa final'!$R$16),"")</f>
        <v/>
      </c>
      <c r="K209" s="56" t="str">
        <f>IF(AND('Mapa final'!$AB$17="Muy Baja",'Mapa final'!$AD$17="Leve"),CONCATENATE("R4C",'Mapa final'!$R$17),"")</f>
        <v/>
      </c>
      <c r="L209" s="130" t="str">
        <f>IF(AND('Mapa final'!$AB$18="Muy Baja",'Mapa final'!$AD$18="Leve"),CONCATENATE("R4C",'Mapa final'!$R$18),"")</f>
        <v/>
      </c>
      <c r="M209" s="129" t="str">
        <f>IF(AND('Mapa final'!$AB$16="Muy Baja",'Mapa final'!$AD$16="Menor"),CONCATENATE("R4C",'Mapa final'!$R$16),"")</f>
        <v/>
      </c>
      <c r="N209" s="56" t="str">
        <f>IF(AND('Mapa final'!$AB$17="Muy Baja",'Mapa final'!$AD$17="Menor"),CONCATENATE("R4C",'Mapa final'!$R$17),"")</f>
        <v/>
      </c>
      <c r="O209" s="130" t="str">
        <f>IF(AND('Mapa final'!$AB$18="Muy Baja",'Mapa final'!$AD$18="Menor"),CONCATENATE("R4C",'Mapa final'!$R$18),"")</f>
        <v/>
      </c>
      <c r="P209" s="51" t="str">
        <f>IF(AND('Mapa final'!$AB$16="Muy Baja",'Mapa final'!$AD$16="Moderado"),CONCATENATE("R4C",'Mapa final'!$R$16),"")</f>
        <v/>
      </c>
      <c r="Q209" s="52" t="str">
        <f>IF(AND('Mapa final'!$AB$17="Muy Baja",'Mapa final'!$AD$17="Moderado"),CONCATENATE("R4C",'Mapa final'!$R$17),"")</f>
        <v/>
      </c>
      <c r="R209" s="125" t="str">
        <f>IF(AND('Mapa final'!$AB$18="Muy Baja",'Mapa final'!$AD$18="Moderado"),CONCATENATE("R4C",'Mapa final'!$R$18),"")</f>
        <v/>
      </c>
      <c r="S209" s="119" t="str">
        <f>IF(AND('Mapa final'!$AB$16="Muy Baja",'Mapa final'!$AD$16="Mayor"),CONCATENATE("R4C",'Mapa final'!$R$16),"")</f>
        <v/>
      </c>
      <c r="T209" s="44" t="str">
        <f>IF(AND('Mapa final'!$AB$17="Muy Baja",'Mapa final'!$AD$17="Mayor"),CONCATENATE("R4C",'Mapa final'!$R$17),"")</f>
        <v/>
      </c>
      <c r="U209" s="120" t="str">
        <f>IF(AND('Mapa final'!$AB$18="Muy Baja",'Mapa final'!$AD$18="Mayor"),CONCATENATE("R4C",'Mapa final'!$R$18),"")</f>
        <v/>
      </c>
      <c r="V209" s="45" t="str">
        <f>IF(AND('Mapa final'!$AB$16="Muy Baja",'Mapa final'!$AD$16="Catastrófico"),CONCATENATE("R4C",'Mapa final'!$R$16),"")</f>
        <v/>
      </c>
      <c r="W209" s="46" t="str">
        <f>IF(AND('Mapa final'!$AB$17="Muy Baja",'Mapa final'!$AD$17="Catastrófico"),CONCATENATE("R4C",'Mapa final'!$R$17),"")</f>
        <v/>
      </c>
      <c r="X209" s="114" t="str">
        <f>IF(AND('Mapa final'!$AB$18="Muy Baja",'Mapa final'!$AD$18="Catastrófico"),CONCATENATE("R4C",'Mapa final'!$R$18),"")</f>
        <v/>
      </c>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c r="AY209" s="58"/>
      <c r="AZ209" s="58"/>
      <c r="BA209" s="58"/>
      <c r="BB209" s="58"/>
      <c r="BC209" s="58"/>
      <c r="BD209" s="58"/>
      <c r="BE209" s="58"/>
      <c r="BF209" s="58"/>
      <c r="BG209" s="58"/>
      <c r="BH209" s="58"/>
      <c r="BI209" s="58"/>
      <c r="BJ209" s="58"/>
      <c r="BK209" s="58"/>
      <c r="BL209" s="58"/>
      <c r="BM209" s="58"/>
    </row>
    <row r="210" spans="1:65" ht="15.75" x14ac:dyDescent="0.25">
      <c r="A210" s="58"/>
      <c r="B210" s="356"/>
      <c r="C210" s="356"/>
      <c r="D210" s="357"/>
      <c r="E210" s="369"/>
      <c r="F210" s="370"/>
      <c r="G210" s="370"/>
      <c r="H210" s="370"/>
      <c r="I210" s="370"/>
      <c r="J210" s="129" t="str">
        <f>IF(AND('Mapa final'!$AB$19="Muy Baja",'Mapa final'!$AD$19="Leve"),CONCATENATE("R5C",'Mapa final'!$R$19),"")</f>
        <v/>
      </c>
      <c r="K210" s="56" t="str">
        <f>IF(AND('Mapa final'!$AB$20="Muy Baja",'Mapa final'!$AD$20="Leve"),CONCATENATE("R5C",'Mapa final'!$R$20),"")</f>
        <v>R5C2</v>
      </c>
      <c r="L210" s="130" t="str">
        <f>IF(AND('Mapa final'!$AB$21="Muy Baja",'Mapa final'!$AD$21="Leve"),CONCATENATE("R5C",'Mapa final'!$R$21),"")</f>
        <v>R5C3</v>
      </c>
      <c r="M210" s="129" t="str">
        <f>IF(AND('Mapa final'!$AB$19="Muy Baja",'Mapa final'!$AD$19="Menor"),CONCATENATE("R5C",'Mapa final'!$R$19),"")</f>
        <v/>
      </c>
      <c r="N210" s="56" t="str">
        <f>IF(AND('Mapa final'!$AB$20="Muy Baja",'Mapa final'!$AD$20="Menor"),CONCATENATE("R5C",'Mapa final'!$R$20),"")</f>
        <v/>
      </c>
      <c r="O210" s="130" t="str">
        <f>IF(AND('Mapa final'!$AB$21="Muy Baja",'Mapa final'!$AD$21="Menor"),CONCATENATE("R5C",'Mapa final'!$R$21),"")</f>
        <v/>
      </c>
      <c r="P210" s="51" t="str">
        <f>IF(AND('Mapa final'!$AB$19="Muy Baja",'Mapa final'!$AD$19="Moderado"),CONCATENATE("R5C",'Mapa final'!$R$19),"")</f>
        <v/>
      </c>
      <c r="Q210" s="52" t="str">
        <f>IF(AND('Mapa final'!$AB$20="Muy Baja",'Mapa final'!$AD$20="Moderado"),CONCATENATE("R5C",'Mapa final'!$R$20),"")</f>
        <v/>
      </c>
      <c r="R210" s="125" t="str">
        <f>IF(AND('Mapa final'!$AB$21="Muy Baja",'Mapa final'!$AD$21="Moderado"),CONCATENATE("R5C",'Mapa final'!$R$21),"")</f>
        <v/>
      </c>
      <c r="S210" s="119" t="str">
        <f>IF(AND('Mapa final'!$AB$19="Muy Baja",'Mapa final'!$AD$19="Mayor"),CONCATENATE("R5C",'Mapa final'!$R$19),"")</f>
        <v/>
      </c>
      <c r="T210" s="44" t="str">
        <f>IF(AND('Mapa final'!$AB$20="Muy Baja",'Mapa final'!$AD$20="Mayor"),CONCATENATE("R5C",'Mapa final'!$R$20),"")</f>
        <v/>
      </c>
      <c r="U210" s="120" t="str">
        <f>IF(AND('Mapa final'!$AB$21="Muy Baja",'Mapa final'!$AD$21="Mayor"),CONCATENATE("R5C",'Mapa final'!$R$21),"")</f>
        <v/>
      </c>
      <c r="V210" s="45" t="str">
        <f>IF(AND('Mapa final'!$AB$19="Muy Baja",'Mapa final'!$AD$19="Catastrófico"),CONCATENATE("R5C",'Mapa final'!$R$19),"")</f>
        <v/>
      </c>
      <c r="W210" s="46" t="str">
        <f>IF(AND('Mapa final'!$AB$20="Muy Baja",'Mapa final'!$AD$20="Catastrófico"),CONCATENATE("R5C",'Mapa final'!$R$20),"")</f>
        <v/>
      </c>
      <c r="X210" s="114" t="str">
        <f>IF(AND('Mapa final'!$AB$21="Muy Baja",'Mapa final'!$AD$21="Catastrófico"),CONCATENATE("R5C",'Mapa final'!$R$21),"")</f>
        <v/>
      </c>
      <c r="Y210" s="58"/>
      <c r="Z210" s="58"/>
      <c r="AA210" s="58"/>
      <c r="AB210" s="58"/>
      <c r="AC210" s="58"/>
      <c r="AD210" s="58"/>
      <c r="AE210" s="58"/>
      <c r="AF210" s="58"/>
      <c r="AG210" s="58"/>
      <c r="AH210" s="58"/>
      <c r="AI210" s="58"/>
      <c r="AJ210" s="58"/>
      <c r="AK210" s="58"/>
      <c r="AL210" s="58"/>
      <c r="AM210" s="58"/>
      <c r="AN210" s="58"/>
      <c r="AO210" s="58"/>
      <c r="AP210" s="58"/>
      <c r="AQ210" s="58"/>
      <c r="AR210" s="58"/>
      <c r="AS210" s="58"/>
      <c r="AT210" s="58"/>
      <c r="AU210" s="58"/>
      <c r="AV210" s="58"/>
      <c r="AW210" s="58"/>
      <c r="AX210" s="58"/>
      <c r="AY210" s="58"/>
      <c r="AZ210" s="58"/>
      <c r="BA210" s="58"/>
      <c r="BB210" s="58"/>
      <c r="BC210" s="58"/>
      <c r="BD210" s="58"/>
      <c r="BE210" s="58"/>
      <c r="BF210" s="58"/>
      <c r="BG210" s="58"/>
      <c r="BH210" s="58"/>
      <c r="BI210" s="58"/>
      <c r="BJ210" s="58"/>
      <c r="BK210" s="58"/>
      <c r="BL210" s="58"/>
      <c r="BM210" s="58"/>
    </row>
    <row r="211" spans="1:65" ht="15.75" x14ac:dyDescent="0.25">
      <c r="A211" s="58"/>
      <c r="B211" s="356"/>
      <c r="C211" s="356"/>
      <c r="D211" s="357"/>
      <c r="E211" s="369"/>
      <c r="F211" s="370"/>
      <c r="G211" s="370"/>
      <c r="H211" s="370"/>
      <c r="I211" s="370"/>
      <c r="J211" s="129" t="str">
        <f>IF(AND('Mapa final'!$AB$22="Muy Baja",'Mapa final'!$AD$22="Leve"),CONCATENATE("R6C",'Mapa final'!$R$22),"")</f>
        <v/>
      </c>
      <c r="K211" s="56" t="str">
        <f>IF(AND('Mapa final'!$AB$23="Muy Baja",'Mapa final'!$AD$23="Leve"),CONCATENATE("R6C",'Mapa final'!$R$23),"")</f>
        <v>R6C2</v>
      </c>
      <c r="L211" s="130" t="str">
        <f>IF(AND('Mapa final'!$AB$24="Muy Baja",'Mapa final'!$AD$24="Leve"),CONCATENATE("R6C",'Mapa final'!$R$24),"")</f>
        <v>R6C3</v>
      </c>
      <c r="M211" s="129" t="str">
        <f>IF(AND('Mapa final'!$AB$22="Muy Baja",'Mapa final'!$AD$22="Menor"),CONCATENATE("R6C",'Mapa final'!$R$22),"")</f>
        <v/>
      </c>
      <c r="N211" s="56" t="str">
        <f>IF(AND('Mapa final'!$AB$23="Muy Baja",'Mapa final'!$AD$23="Menor"),CONCATENATE("R6C",'Mapa final'!$R$23),"")</f>
        <v/>
      </c>
      <c r="O211" s="130" t="str">
        <f>IF(AND('Mapa final'!$AB$24="Muy Baja",'Mapa final'!$AD$24="Menor"),CONCATENATE("R6C",'Mapa final'!$R$24),"")</f>
        <v/>
      </c>
      <c r="P211" s="51" t="str">
        <f>IF(AND('Mapa final'!$AB$22="Muy Baja",'Mapa final'!$AD$22="Moderado"),CONCATENATE("R6C",'Mapa final'!$R$22),"")</f>
        <v>R6C1</v>
      </c>
      <c r="Q211" s="52" t="str">
        <f>IF(AND('Mapa final'!$AB$23="Muy Baja",'Mapa final'!$AD$23="Moderado"),CONCATENATE("R6C",'Mapa final'!$R$23),"")</f>
        <v/>
      </c>
      <c r="R211" s="125" t="str">
        <f>IF(AND('Mapa final'!$AB$24="Muy Baja",'Mapa final'!$AD$24="Moderado"),CONCATENATE("R6C",'Mapa final'!$R$24),"")</f>
        <v/>
      </c>
      <c r="S211" s="119" t="str">
        <f>IF(AND('Mapa final'!$AB$22="Muy Baja",'Mapa final'!$AD$22="Mayor"),CONCATENATE("R6C",'Mapa final'!$R$22),"")</f>
        <v/>
      </c>
      <c r="T211" s="44" t="str">
        <f>IF(AND('Mapa final'!$AB$23="Muy Baja",'Mapa final'!$AD$23="Mayor"),CONCATENATE("R6C",'Mapa final'!$R$23),"")</f>
        <v/>
      </c>
      <c r="U211" s="120" t="str">
        <f>IF(AND('Mapa final'!$AB$24="Muy Baja",'Mapa final'!$AD$24="Mayor"),CONCATENATE("R6C",'Mapa final'!$R$24),"")</f>
        <v/>
      </c>
      <c r="V211" s="45" t="str">
        <f>IF(AND('Mapa final'!$AB$22="Muy Baja",'Mapa final'!$AD$22="Catastrófico"),CONCATENATE("R6C",'Mapa final'!$R$22),"")</f>
        <v/>
      </c>
      <c r="W211" s="46" t="str">
        <f>IF(AND('Mapa final'!$AB$23="Muy Baja",'Mapa final'!$AD$23="Catastrófico"),CONCATENATE("R6C",'Mapa final'!$R$23),"")</f>
        <v/>
      </c>
      <c r="X211" s="114" t="str">
        <f>IF(AND('Mapa final'!$AB$24="Muy Baja",'Mapa final'!$AD$24="Catastrófico"),CONCATENATE("R6C",'Mapa final'!$R$24),"")</f>
        <v/>
      </c>
      <c r="Y211" s="58"/>
      <c r="Z211" s="58"/>
      <c r="AA211" s="58"/>
      <c r="AB211" s="58"/>
      <c r="AC211" s="58"/>
      <c r="AD211" s="58"/>
      <c r="AE211" s="58"/>
      <c r="AF211" s="58"/>
      <c r="AG211" s="58"/>
      <c r="AH211" s="58"/>
      <c r="AI211" s="58"/>
      <c r="AJ211" s="58"/>
      <c r="AK211" s="58"/>
      <c r="AL211" s="58"/>
      <c r="AM211" s="58"/>
      <c r="AN211" s="58"/>
      <c r="AO211" s="58"/>
      <c r="AP211" s="58"/>
      <c r="AQ211" s="58"/>
      <c r="AR211" s="58"/>
      <c r="AS211" s="58"/>
      <c r="AT211" s="58"/>
      <c r="AU211" s="58"/>
      <c r="AV211" s="58"/>
      <c r="AW211" s="58"/>
      <c r="AX211" s="58"/>
      <c r="AY211" s="58"/>
      <c r="AZ211" s="58"/>
      <c r="BA211" s="58"/>
      <c r="BB211" s="58"/>
      <c r="BC211" s="58"/>
      <c r="BD211" s="58"/>
      <c r="BE211" s="58"/>
      <c r="BF211" s="58"/>
      <c r="BG211" s="58"/>
      <c r="BH211" s="58"/>
      <c r="BI211" s="58"/>
      <c r="BJ211" s="58"/>
      <c r="BK211" s="58"/>
      <c r="BL211" s="58"/>
      <c r="BM211" s="58"/>
    </row>
    <row r="212" spans="1:65" ht="15.75" x14ac:dyDescent="0.25">
      <c r="A212" s="58"/>
      <c r="B212" s="356"/>
      <c r="C212" s="356"/>
      <c r="D212" s="357"/>
      <c r="E212" s="369"/>
      <c r="F212" s="370"/>
      <c r="G212" s="370"/>
      <c r="H212" s="370"/>
      <c r="I212" s="370"/>
      <c r="J212" s="129" t="str">
        <f>IF(AND('Mapa final'!$AB$25="Muy Baja",'Mapa final'!$AD$25="Leve"),CONCATENATE("R7C",'Mapa final'!$R$25),"")</f>
        <v/>
      </c>
      <c r="K212" s="56" t="str">
        <f>IF(AND('Mapa final'!$AB$26="Muy Baja",'Mapa final'!$AD$26="Leve"),CONCATENATE("R7C",'Mapa final'!$R$26),"")</f>
        <v>R7C2</v>
      </c>
      <c r="L212" s="130" t="str">
        <f>IF(AND('Mapa final'!$AB$27="Muy Baja",'Mapa final'!$AD$27="Leve"),CONCATENATE("R7C",'Mapa final'!$R$27),"")</f>
        <v>R7C3</v>
      </c>
      <c r="M212" s="129" t="str">
        <f>IF(AND('Mapa final'!$AB$25="Muy Baja",'Mapa final'!$AD$25="Menor"),CONCATENATE("R7C",'Mapa final'!$R$25),"")</f>
        <v/>
      </c>
      <c r="N212" s="56" t="str">
        <f>IF(AND('Mapa final'!$AB$26="Muy Baja",'Mapa final'!$AD$26="Menor"),CONCATENATE("R7C",'Mapa final'!$R$26),"")</f>
        <v/>
      </c>
      <c r="O212" s="130" t="str">
        <f>IF(AND('Mapa final'!$AB$27="Muy Baja",'Mapa final'!$AD$27="Menor"),CONCATENATE("R7C",'Mapa final'!$R$27),"")</f>
        <v/>
      </c>
      <c r="P212" s="51" t="str">
        <f>IF(AND('Mapa final'!$AB$25="Muy Baja",'Mapa final'!$AD$25="Moderado"),CONCATENATE("R7C",'Mapa final'!$R$25),"")</f>
        <v>R7C1</v>
      </c>
      <c r="Q212" s="52" t="str">
        <f>IF(AND('Mapa final'!$AB$26="Muy Baja",'Mapa final'!$AD$26="Moderado"),CONCATENATE("R7C",'Mapa final'!$R$26),"")</f>
        <v/>
      </c>
      <c r="R212" s="125" t="str">
        <f>IF(AND('Mapa final'!$AB$27="Muy Baja",'Mapa final'!$AD$27="Moderado"),CONCATENATE("R7C",'Mapa final'!$R$27),"")</f>
        <v/>
      </c>
      <c r="S212" s="119" t="str">
        <f>IF(AND('Mapa final'!$AB$25="Muy Baja",'Mapa final'!$AD$25="Mayor"),CONCATENATE("R7C",'Mapa final'!$R$25),"")</f>
        <v/>
      </c>
      <c r="T212" s="44" t="str">
        <f>IF(AND('Mapa final'!$AB$26="Muy Baja",'Mapa final'!$AD$26="Mayor"),CONCATENATE("R7C",'Mapa final'!$R$26),"")</f>
        <v/>
      </c>
      <c r="U212" s="120" t="str">
        <f>IF(AND('Mapa final'!$AB$27="Muy Baja",'Mapa final'!$AD$27="Mayor"),CONCATENATE("R7C",'Mapa final'!$R$27),"")</f>
        <v/>
      </c>
      <c r="V212" s="45" t="str">
        <f>IF(AND('Mapa final'!$AB$25="Muy Baja",'Mapa final'!$AD$25="Catastrófico"),CONCATENATE("R7C",'Mapa final'!$R$25),"")</f>
        <v/>
      </c>
      <c r="W212" s="46" t="str">
        <f>IF(AND('Mapa final'!$AB$26="Muy Baja",'Mapa final'!$AD$26="Catastrófico"),CONCATENATE("R7C",'Mapa final'!$R$26),"")</f>
        <v/>
      </c>
      <c r="X212" s="114" t="str">
        <f>IF(AND('Mapa final'!$AB$27="Muy Baja",'Mapa final'!$AD$27="Catastrófico"),CONCATENATE("R7C",'Mapa final'!$R$27),"")</f>
        <v/>
      </c>
      <c r="Y212" s="58"/>
      <c r="Z212" s="58"/>
      <c r="AA212" s="58"/>
      <c r="AB212" s="58"/>
      <c r="AC212" s="58"/>
      <c r="AD212" s="58"/>
      <c r="AE212" s="58"/>
      <c r="AF212" s="58"/>
      <c r="AG212" s="58"/>
      <c r="AH212" s="58"/>
      <c r="AI212" s="58"/>
      <c r="AJ212" s="58"/>
      <c r="AK212" s="58"/>
      <c r="AL212" s="58"/>
      <c r="AM212" s="58"/>
      <c r="AN212" s="58"/>
      <c r="AO212" s="58"/>
      <c r="AP212" s="58"/>
      <c r="AQ212" s="58"/>
      <c r="AR212" s="58"/>
      <c r="AS212" s="58"/>
      <c r="AT212" s="58"/>
      <c r="AU212" s="58"/>
      <c r="AV212" s="58"/>
      <c r="AW212" s="58"/>
      <c r="AX212" s="58"/>
      <c r="AY212" s="58"/>
      <c r="AZ212" s="58"/>
      <c r="BA212" s="58"/>
      <c r="BB212" s="58"/>
      <c r="BC212" s="58"/>
      <c r="BD212" s="58"/>
      <c r="BE212" s="58"/>
      <c r="BF212" s="58"/>
      <c r="BG212" s="58"/>
      <c r="BH212" s="58"/>
      <c r="BI212" s="58"/>
      <c r="BJ212" s="58"/>
      <c r="BK212" s="58"/>
      <c r="BL212" s="58"/>
      <c r="BM212" s="58"/>
    </row>
    <row r="213" spans="1:65" ht="15.75" x14ac:dyDescent="0.25">
      <c r="A213" s="58"/>
      <c r="B213" s="356"/>
      <c r="C213" s="356"/>
      <c r="D213" s="357"/>
      <c r="E213" s="369"/>
      <c r="F213" s="370"/>
      <c r="G213" s="370"/>
      <c r="H213" s="370"/>
      <c r="I213" s="370"/>
      <c r="J213" s="129" t="str">
        <f>IF(AND('Mapa final'!$AB$28="Muy Baja",'Mapa final'!$AD$28="Leve"),CONCATENATE("R8C",'Mapa final'!$R$28),"")</f>
        <v/>
      </c>
      <c r="K213" s="56" t="str">
        <f>IF(AND('Mapa final'!$AB$29="Muy Baja",'Mapa final'!$AD$29="Leve"),CONCATENATE("R8C",'Mapa final'!$R$29),"")</f>
        <v>R8C2</v>
      </c>
      <c r="L213" s="130" t="str">
        <f>IF(AND('Mapa final'!$AB$30="Muy Baja",'Mapa final'!$AD$30="Leve"),CONCATENATE("R8C",'Mapa final'!$R$30),"")</f>
        <v>R8C3</v>
      </c>
      <c r="M213" s="129" t="str">
        <f>IF(AND('Mapa final'!$AB$28="Muy Baja",'Mapa final'!$AD$28="Menor"),CONCATENATE("R8C",'Mapa final'!$R$28),"")</f>
        <v/>
      </c>
      <c r="N213" s="56" t="str">
        <f>IF(AND('Mapa final'!$AB$29="Muy Baja",'Mapa final'!$AD$29="Menor"),CONCATENATE("R8C",'Mapa final'!$R$29),"")</f>
        <v/>
      </c>
      <c r="O213" s="130" t="str">
        <f>IF(AND('Mapa final'!$AB$30="Muy Baja",'Mapa final'!$AD$30="Menor"),CONCATENATE("R8C",'Mapa final'!$R$30),"")</f>
        <v/>
      </c>
      <c r="P213" s="51" t="str">
        <f>IF(AND('Mapa final'!$AB$28="Muy Baja",'Mapa final'!$AD$28="Moderado"),CONCATENATE("R8C",'Mapa final'!$R$28),"")</f>
        <v/>
      </c>
      <c r="Q213" s="52" t="str">
        <f>IF(AND('Mapa final'!$AB$29="Muy Baja",'Mapa final'!$AD$29="Moderado"),CONCATENATE("R8C",'Mapa final'!$R$29),"")</f>
        <v/>
      </c>
      <c r="R213" s="125" t="str">
        <f>IF(AND('Mapa final'!$AB$30="Muy Baja",'Mapa final'!$AD$30="Moderado"),CONCATENATE("R8C",'Mapa final'!$R$30),"")</f>
        <v/>
      </c>
      <c r="S213" s="119" t="str">
        <f>IF(AND('Mapa final'!$AB$28="Muy Baja",'Mapa final'!$AD$28="Mayor"),CONCATENATE("R8C",'Mapa final'!$R$28),"")</f>
        <v/>
      </c>
      <c r="T213" s="44" t="str">
        <f>IF(AND('Mapa final'!$AB$29="Muy Baja",'Mapa final'!$AD$29="Mayor"),CONCATENATE("R8C",'Mapa final'!$R$29),"")</f>
        <v/>
      </c>
      <c r="U213" s="120" t="str">
        <f>IF(AND('Mapa final'!$AB$30="Muy Baja",'Mapa final'!$AD$30="Mayor"),CONCATENATE("R8C",'Mapa final'!$R$30),"")</f>
        <v/>
      </c>
      <c r="V213" s="45" t="str">
        <f>IF(AND('Mapa final'!$AB$28="Muy Baja",'Mapa final'!$AD$28="Catastrófico"),CONCATENATE("R8C",'Mapa final'!$R$28),"")</f>
        <v/>
      </c>
      <c r="W213" s="46" t="str">
        <f>IF(AND('Mapa final'!$AB$29="Muy Baja",'Mapa final'!$AD$29="Catastrófico"),CONCATENATE("R8C",'Mapa final'!$R$29),"")</f>
        <v/>
      </c>
      <c r="X213" s="114" t="str">
        <f>IF(AND('Mapa final'!$AB$30="Muy Baja",'Mapa final'!$AD$30="Catastrófico"),CONCATENATE("R8C",'Mapa final'!$R$30),"")</f>
        <v/>
      </c>
      <c r="Y213" s="58"/>
      <c r="Z213" s="58"/>
      <c r="AA213" s="58"/>
      <c r="AB213" s="58"/>
      <c r="AC213" s="58"/>
      <c r="AD213" s="58"/>
      <c r="AE213" s="58"/>
      <c r="AF213" s="58"/>
      <c r="AG213" s="58"/>
      <c r="AH213" s="58"/>
      <c r="AI213" s="58"/>
      <c r="AJ213" s="58"/>
      <c r="AK213" s="58"/>
      <c r="AL213" s="58"/>
      <c r="AM213" s="58"/>
      <c r="AN213" s="58"/>
      <c r="AO213" s="58"/>
      <c r="AP213" s="58"/>
      <c r="AQ213" s="58"/>
      <c r="AR213" s="58"/>
      <c r="AS213" s="58"/>
      <c r="AT213" s="58"/>
      <c r="AU213" s="58"/>
      <c r="AV213" s="58"/>
      <c r="AW213" s="58"/>
      <c r="AX213" s="58"/>
      <c r="AY213" s="58"/>
      <c r="AZ213" s="58"/>
      <c r="BA213" s="58"/>
      <c r="BB213" s="58"/>
      <c r="BC213" s="58"/>
      <c r="BD213" s="58"/>
      <c r="BE213" s="58"/>
      <c r="BF213" s="58"/>
      <c r="BG213" s="58"/>
      <c r="BH213" s="58"/>
      <c r="BI213" s="58"/>
      <c r="BJ213" s="58"/>
      <c r="BK213" s="58"/>
      <c r="BL213" s="58"/>
      <c r="BM213" s="58"/>
    </row>
    <row r="214" spans="1:65" ht="15.75" x14ac:dyDescent="0.25">
      <c r="A214" s="58"/>
      <c r="B214" s="356"/>
      <c r="C214" s="356"/>
      <c r="D214" s="357"/>
      <c r="E214" s="369"/>
      <c r="F214" s="370"/>
      <c r="G214" s="370"/>
      <c r="H214" s="370"/>
      <c r="I214" s="370"/>
      <c r="J214" s="129" t="str">
        <f>IF(AND('Mapa final'!$AB$31="Muy Baja",'Mapa final'!$AD$31="Leve"),CONCATENATE("R9C",'Mapa final'!$R$31),"")</f>
        <v/>
      </c>
      <c r="K214" s="56" t="str">
        <f>IF(AND('Mapa final'!$AB$32="Muy Baja",'Mapa final'!$AD$32="Leve"),CONCATENATE("R9C",'Mapa final'!$R$32),"")</f>
        <v>R9C2</v>
      </c>
      <c r="L214" s="130" t="str">
        <f>IF(AND('Mapa final'!$AB$33="Muy Baja",'Mapa final'!$AD$33="Leve"),CONCATENATE("R9C",'Mapa final'!$R$33),"")</f>
        <v>R9C3</v>
      </c>
      <c r="M214" s="129" t="str">
        <f>IF(AND('Mapa final'!$AB$31="Muy Baja",'Mapa final'!$AD$31="Menor"),CONCATENATE("R9C",'Mapa final'!$R$31),"")</f>
        <v/>
      </c>
      <c r="N214" s="56" t="str">
        <f>IF(AND('Mapa final'!$AB$32="Muy Baja",'Mapa final'!$AD$32="Menor"),CONCATENATE("R9C",'Mapa final'!$R$32),"")</f>
        <v/>
      </c>
      <c r="O214" s="130" t="str">
        <f>IF(AND('Mapa final'!$AB$33="Muy Baja",'Mapa final'!$AD$33="Menor"),CONCATENATE("R9C",'Mapa final'!$R$33),"")</f>
        <v/>
      </c>
      <c r="P214" s="51" t="str">
        <f>IF(AND('Mapa final'!$AB$31="Muy Baja",'Mapa final'!$AD$31="Moderado"),CONCATENATE("R9C",'Mapa final'!$R$31),"")</f>
        <v/>
      </c>
      <c r="Q214" s="52" t="str">
        <f>IF(AND('Mapa final'!$AB$32="Muy Baja",'Mapa final'!$AD$32="Moderado"),CONCATENATE("R9C",'Mapa final'!$R$32),"")</f>
        <v/>
      </c>
      <c r="R214" s="125" t="str">
        <f>IF(AND('Mapa final'!$AB$33="Muy Baja",'Mapa final'!$AD$33="Moderado"),CONCATENATE("R9C",'Mapa final'!$R$33),"")</f>
        <v/>
      </c>
      <c r="S214" s="119" t="str">
        <f>IF(AND('Mapa final'!$AB$31="Muy Baja",'Mapa final'!$AD$31="Mayor"),CONCATENATE("R9C",'Mapa final'!$R$31),"")</f>
        <v/>
      </c>
      <c r="T214" s="44" t="str">
        <f>IF(AND('Mapa final'!$AB$32="Muy Baja",'Mapa final'!$AD$32="Mayor"),CONCATENATE("R9C",'Mapa final'!$R$32),"")</f>
        <v/>
      </c>
      <c r="U214" s="120" t="str">
        <f>IF(AND('Mapa final'!$AB$33="Muy Baja",'Mapa final'!$AD$33="Mayor"),CONCATENATE("R9C",'Mapa final'!$R$33),"")</f>
        <v/>
      </c>
      <c r="V214" s="45" t="str">
        <f>IF(AND('Mapa final'!$AB$31="Muy Baja",'Mapa final'!$AD$31="Catastrófico"),CONCATENATE("R9C",'Mapa final'!$R$31),"")</f>
        <v/>
      </c>
      <c r="W214" s="46" t="str">
        <f>IF(AND('Mapa final'!$AB$32="Muy Baja",'Mapa final'!$AD$32="Catastrófico"),CONCATENATE("R9C",'Mapa final'!$R$32),"")</f>
        <v/>
      </c>
      <c r="X214" s="114" t="str">
        <f>IF(AND('Mapa final'!$AB$33="Muy Baja",'Mapa final'!$AD$33="Catastrófico"),CONCATENATE("R9C",'Mapa final'!$R$33),"")</f>
        <v/>
      </c>
      <c r="Y214" s="58"/>
      <c r="Z214" s="58"/>
      <c r="AA214" s="58"/>
      <c r="AB214" s="58"/>
      <c r="AC214" s="58"/>
      <c r="AD214" s="58"/>
      <c r="AE214" s="58"/>
      <c r="AF214" s="58"/>
      <c r="AG214" s="58"/>
      <c r="AH214" s="58"/>
      <c r="AI214" s="58"/>
      <c r="AJ214" s="58"/>
      <c r="AK214" s="58"/>
      <c r="AL214" s="58"/>
      <c r="AM214" s="58"/>
      <c r="AN214" s="58"/>
      <c r="AO214" s="58"/>
      <c r="AP214" s="58"/>
      <c r="AQ214" s="58"/>
      <c r="AR214" s="58"/>
      <c r="AS214" s="58"/>
      <c r="AT214" s="58"/>
      <c r="AU214" s="58"/>
      <c r="AV214" s="58"/>
      <c r="AW214" s="58"/>
      <c r="AX214" s="58"/>
      <c r="AY214" s="58"/>
      <c r="AZ214" s="58"/>
      <c r="BA214" s="58"/>
      <c r="BB214" s="58"/>
      <c r="BC214" s="58"/>
      <c r="BD214" s="58"/>
      <c r="BE214" s="58"/>
      <c r="BF214" s="58"/>
      <c r="BG214" s="58"/>
      <c r="BH214" s="58"/>
      <c r="BI214" s="58"/>
      <c r="BJ214" s="58"/>
      <c r="BK214" s="58"/>
      <c r="BL214" s="58"/>
      <c r="BM214" s="58"/>
    </row>
    <row r="215" spans="1:65" ht="15.75" x14ac:dyDescent="0.25">
      <c r="A215" s="58"/>
      <c r="B215" s="356"/>
      <c r="C215" s="356"/>
      <c r="D215" s="357"/>
      <c r="E215" s="369"/>
      <c r="F215" s="370"/>
      <c r="G215" s="370"/>
      <c r="H215" s="370"/>
      <c r="I215" s="370"/>
      <c r="J215" s="129" t="str">
        <f>IF(AND('Mapa final'!$AB$34="Muy Baja",'Mapa final'!$AD$34="Leve"),CONCATENATE("R10C",'Mapa final'!$R$34),"")</f>
        <v/>
      </c>
      <c r="K215" s="56" t="str">
        <f>IF(AND('Mapa final'!$AB$35="Muy Baja",'Mapa final'!$AD$35="Leve"),CONCATENATE("R10C",'Mapa final'!$R$35),"")</f>
        <v>R10C2</v>
      </c>
      <c r="L215" s="130" t="str">
        <f>IF(AND('Mapa final'!$AB$36="Muy Baja",'Mapa final'!$AD$36="Leve"),CONCATENATE("R10C",'Mapa final'!$R$36),"")</f>
        <v>R10C3</v>
      </c>
      <c r="M215" s="129" t="str">
        <f>IF(AND('Mapa final'!$AB$34="Muy Baja",'Mapa final'!$AD$34="Menor"),CONCATENATE("R10C",'Mapa final'!$R$34),"")</f>
        <v/>
      </c>
      <c r="N215" s="56" t="str">
        <f>IF(AND('Mapa final'!$AB$35="Muy Baja",'Mapa final'!$AD$35="Menor"),CONCATENATE("R10C",'Mapa final'!$R$35),"")</f>
        <v/>
      </c>
      <c r="O215" s="130" t="str">
        <f>IF(AND('Mapa final'!$AB$36="Muy Baja",'Mapa final'!$AD$36="Menor"),CONCATENATE("R10C",'Mapa final'!$R$36),"")</f>
        <v/>
      </c>
      <c r="P215" s="51" t="str">
        <f>IF(AND('Mapa final'!$AB$34="Muy Baja",'Mapa final'!$AD$34="Moderado"),CONCATENATE("R10C",'Mapa final'!$R$34),"")</f>
        <v/>
      </c>
      <c r="Q215" s="52" t="str">
        <f>IF(AND('Mapa final'!$AB$35="Muy Baja",'Mapa final'!$AD$35="Moderado"),CONCATENATE("R10C",'Mapa final'!$R$35),"")</f>
        <v/>
      </c>
      <c r="R215" s="125" t="str">
        <f>IF(AND('Mapa final'!$AB$36="Muy Baja",'Mapa final'!$AD$36="Moderado"),CONCATENATE("R10C",'Mapa final'!$R$36),"")</f>
        <v/>
      </c>
      <c r="S215" s="119" t="str">
        <f>IF(AND('Mapa final'!$AB$34="Muy Baja",'Mapa final'!$AD$34="Mayor"),CONCATENATE("R10C",'Mapa final'!$R$34),"")</f>
        <v/>
      </c>
      <c r="T215" s="44" t="str">
        <f>IF(AND('Mapa final'!$AB$35="Muy Baja",'Mapa final'!$AD$35="Mayor"),CONCATENATE("R10C",'Mapa final'!$R$35),"")</f>
        <v/>
      </c>
      <c r="U215" s="120" t="str">
        <f>IF(AND('Mapa final'!$AB$36="Muy Baja",'Mapa final'!$AD$36="Mayor"),CONCATENATE("R10C",'Mapa final'!$R$36),"")</f>
        <v/>
      </c>
      <c r="V215" s="45" t="str">
        <f>IF(AND('Mapa final'!$AB$34="Muy Baja",'Mapa final'!$AD$34="Catastrófico"),CONCATENATE("R10C",'Mapa final'!$R$34),"")</f>
        <v/>
      </c>
      <c r="W215" s="46" t="str">
        <f>IF(AND('Mapa final'!$AB$35="Muy Baja",'Mapa final'!$AD$35="Catastrófico"),CONCATENATE("R10C",'Mapa final'!$R$35),"")</f>
        <v/>
      </c>
      <c r="X215" s="114" t="str">
        <f>IF(AND('Mapa final'!$AB$36="Muy Baja",'Mapa final'!$AD$36="Catastrófico"),CONCATENATE("R10C",'Mapa final'!$R$36),"")</f>
        <v/>
      </c>
      <c r="Y215" s="58"/>
      <c r="Z215" s="58"/>
      <c r="AA215" s="58"/>
      <c r="AB215" s="58"/>
      <c r="AC215" s="58"/>
      <c r="AD215" s="58"/>
      <c r="AE215" s="58"/>
      <c r="AF215" s="58"/>
      <c r="AG215" s="58"/>
      <c r="AH215" s="58"/>
      <c r="AI215" s="58"/>
      <c r="AJ215" s="58"/>
      <c r="AK215" s="58"/>
      <c r="AL215" s="58"/>
      <c r="AM215" s="58"/>
      <c r="AN215" s="58"/>
      <c r="AO215" s="58"/>
      <c r="AP215" s="58"/>
      <c r="AQ215" s="58"/>
      <c r="AR215" s="58"/>
      <c r="AS215" s="58"/>
      <c r="AT215" s="58"/>
      <c r="AU215" s="58"/>
      <c r="AV215" s="58"/>
      <c r="AW215" s="58"/>
      <c r="AX215" s="58"/>
      <c r="AY215" s="58"/>
      <c r="AZ215" s="58"/>
      <c r="BA215" s="58"/>
      <c r="BB215" s="58"/>
      <c r="BC215" s="58"/>
      <c r="BD215" s="58"/>
      <c r="BE215" s="58"/>
      <c r="BF215" s="58"/>
      <c r="BG215" s="58"/>
      <c r="BH215" s="58"/>
      <c r="BI215" s="58"/>
      <c r="BJ215" s="58"/>
      <c r="BK215" s="58"/>
      <c r="BL215" s="58"/>
      <c r="BM215" s="58"/>
    </row>
    <row r="216" spans="1:65" ht="15.75" x14ac:dyDescent="0.25">
      <c r="A216" s="58"/>
      <c r="B216" s="356"/>
      <c r="C216" s="356"/>
      <c r="D216" s="357"/>
      <c r="E216" s="369"/>
      <c r="F216" s="370"/>
      <c r="G216" s="370"/>
      <c r="H216" s="370"/>
      <c r="I216" s="370"/>
      <c r="J216" s="129" t="str">
        <f>IF(AND('Mapa final'!$AB$37="Muy Baja",'Mapa final'!$AD$37="Leve"),CONCATENATE("R11C",'Mapa final'!$R$37),"")</f>
        <v/>
      </c>
      <c r="K216" s="56" t="str">
        <f>IF(AND('Mapa final'!$AB$38="Muy Baja",'Mapa final'!$AD$38="Leve"),CONCATENATE("R11C",'Mapa final'!$R$38),"")</f>
        <v>R11C2</v>
      </c>
      <c r="L216" s="130" t="str">
        <f>IF(AND('Mapa final'!$AB$39="Muy Baja",'Mapa final'!$AD$39="Leve"),CONCATENATE("R11C",'Mapa final'!$R$39),"")</f>
        <v>R11C3</v>
      </c>
      <c r="M216" s="129" t="str">
        <f>IF(AND('Mapa final'!$AB$37="Muy Baja",'Mapa final'!$AD$37="Menor"),CONCATENATE("R11C",'Mapa final'!$R$37),"")</f>
        <v/>
      </c>
      <c r="N216" s="56" t="str">
        <f>IF(AND('Mapa final'!$AB$38="Muy Baja",'Mapa final'!$AD$38="Menor"),CONCATENATE("R11C",'Mapa final'!$R$38),"")</f>
        <v/>
      </c>
      <c r="O216" s="130" t="str">
        <f>IF(AND('Mapa final'!$AB$39="Muy Baja",'Mapa final'!$AD$39="Menor"),CONCATENATE("R11C",'Mapa final'!$R$39),"")</f>
        <v/>
      </c>
      <c r="P216" s="51" t="str">
        <f>IF(AND('Mapa final'!$AB$37="Muy Baja",'Mapa final'!$AD$37="Moderado"),CONCATENATE("R11C",'Mapa final'!$R$37),"")</f>
        <v/>
      </c>
      <c r="Q216" s="52" t="str">
        <f>IF(AND('Mapa final'!$AB$38="Muy Baja",'Mapa final'!$AD$38="Moderado"),CONCATENATE("R11C",'Mapa final'!$R$38),"")</f>
        <v/>
      </c>
      <c r="R216" s="125" t="str">
        <f>IF(AND('Mapa final'!$AB$39="Muy Baja",'Mapa final'!$AD$39="Moderado"),CONCATENATE("R11C",'Mapa final'!$R$39),"")</f>
        <v/>
      </c>
      <c r="S216" s="119" t="str">
        <f>IF(AND('Mapa final'!$AB$37="Muy Baja",'Mapa final'!$AD$37="Mayor"),CONCATENATE("R11C",'Mapa final'!$R$37),"")</f>
        <v/>
      </c>
      <c r="T216" s="44" t="str">
        <f>IF(AND('Mapa final'!$AB$38="Muy Baja",'Mapa final'!$AD$38="Mayor"),CONCATENATE("R11C",'Mapa final'!$R$38),"")</f>
        <v/>
      </c>
      <c r="U216" s="120" t="str">
        <f>IF(AND('Mapa final'!$AB$39="Muy Baja",'Mapa final'!$AD$39="Mayor"),CONCATENATE("R11C",'Mapa final'!$R$39),"")</f>
        <v/>
      </c>
      <c r="V216" s="45" t="str">
        <f>IF(AND('Mapa final'!$AB$37="Muy Baja",'Mapa final'!$AD$37="Catastrófico"),CONCATENATE("R11C",'Mapa final'!$R$37),"")</f>
        <v/>
      </c>
      <c r="W216" s="46" t="str">
        <f>IF(AND('Mapa final'!$AB$38="Muy Baja",'Mapa final'!$AD$38="Catastrófico"),CONCATENATE("R11C",'Mapa final'!$R$38),"")</f>
        <v/>
      </c>
      <c r="X216" s="114" t="str">
        <f>IF(AND('Mapa final'!$AB$39="Muy Baja",'Mapa final'!$AD$39="Catastrófico"),CONCATENATE("R11C",'Mapa final'!$R$39),"")</f>
        <v/>
      </c>
      <c r="Y216" s="58"/>
      <c r="Z216" s="58"/>
      <c r="AA216" s="58"/>
      <c r="AB216" s="58"/>
      <c r="AC216" s="58"/>
      <c r="AD216" s="58"/>
      <c r="AE216" s="58"/>
      <c r="AF216" s="58"/>
      <c r="AG216" s="58"/>
      <c r="AH216" s="58"/>
      <c r="AI216" s="58"/>
      <c r="AJ216" s="58"/>
      <c r="AK216" s="58"/>
      <c r="AL216" s="58"/>
      <c r="AM216" s="58"/>
      <c r="AN216" s="58"/>
      <c r="AO216" s="58"/>
      <c r="AP216" s="58"/>
      <c r="AQ216" s="58"/>
      <c r="AR216" s="58"/>
      <c r="AS216" s="58"/>
      <c r="AT216" s="58"/>
      <c r="AU216" s="58"/>
      <c r="AV216" s="58"/>
      <c r="AW216" s="58"/>
      <c r="AX216" s="58"/>
      <c r="AY216" s="58"/>
      <c r="AZ216" s="58"/>
      <c r="BA216" s="58"/>
      <c r="BB216" s="58"/>
      <c r="BC216" s="58"/>
      <c r="BD216" s="58"/>
      <c r="BE216" s="58"/>
      <c r="BF216" s="58"/>
      <c r="BG216" s="58"/>
      <c r="BH216" s="58"/>
      <c r="BI216" s="58"/>
      <c r="BJ216" s="58"/>
      <c r="BK216" s="58"/>
      <c r="BL216" s="58"/>
      <c r="BM216" s="58"/>
    </row>
    <row r="217" spans="1:65" ht="15.75" x14ac:dyDescent="0.25">
      <c r="A217" s="58"/>
      <c r="B217" s="356"/>
      <c r="C217" s="356"/>
      <c r="D217" s="357"/>
      <c r="E217" s="369"/>
      <c r="F217" s="370"/>
      <c r="G217" s="370"/>
      <c r="H217" s="370"/>
      <c r="I217" s="370"/>
      <c r="J217" s="129" t="str">
        <f>IF(AND('Mapa final'!$AB$40="Muy Baja",'Mapa final'!$AD$40="Leve"),CONCATENATE("R12C",'Mapa final'!$R$40),"")</f>
        <v/>
      </c>
      <c r="K217" s="56" t="str">
        <f>IF(AND('Mapa final'!$AB$41="Muy Baja",'Mapa final'!$AD$41="Leve"),CONCATENATE("R12C",'Mapa final'!$R$41),"")</f>
        <v>R12C2</v>
      </c>
      <c r="L217" s="130" t="str">
        <f>IF(AND('Mapa final'!$AB$42="Muy Baja",'Mapa final'!$AD$42="Leve"),CONCATENATE("R12C",'Mapa final'!$R$42),"")</f>
        <v>R12C3</v>
      </c>
      <c r="M217" s="129" t="str">
        <f>IF(AND('Mapa final'!$AB$40="Muy Baja",'Mapa final'!$AD$40="Menor"),CONCATENATE("R12C",'Mapa final'!$R$40),"")</f>
        <v/>
      </c>
      <c r="N217" s="56" t="str">
        <f>IF(AND('Mapa final'!$AB$41="Muy Baja",'Mapa final'!$AD$41="Menor"),CONCATENATE("R12C",'Mapa final'!$R$41),"")</f>
        <v/>
      </c>
      <c r="O217" s="130" t="str">
        <f>IF(AND('Mapa final'!$AB$42="Muy Baja",'Mapa final'!$AD$42="Menor"),CONCATENATE("R12C",'Mapa final'!$R$42),"")</f>
        <v/>
      </c>
      <c r="P217" s="51" t="str">
        <f>IF(AND('Mapa final'!$AB$40="Muy Baja",'Mapa final'!$AD$40="Moderado"),CONCATENATE("R12C",'Mapa final'!$R$40),"")</f>
        <v/>
      </c>
      <c r="Q217" s="52" t="str">
        <f>IF(AND('Mapa final'!$AB$41="Muy Baja",'Mapa final'!$AD$41="Moderado"),CONCATENATE("R12C",'Mapa final'!$R$41),"")</f>
        <v/>
      </c>
      <c r="R217" s="125" t="str">
        <f>IF(AND('Mapa final'!$AB$42="Muy Baja",'Mapa final'!$AD$42="Moderado"),CONCATENATE("R12C",'Mapa final'!$R$42),"")</f>
        <v/>
      </c>
      <c r="S217" s="119" t="str">
        <f>IF(AND('Mapa final'!$AB$40="Muy Baja",'Mapa final'!$AD$40="Mayor"),CONCATENATE("R12C",'Mapa final'!$R$40),"")</f>
        <v/>
      </c>
      <c r="T217" s="44" t="str">
        <f>IF(AND('Mapa final'!$AB$41="Muy Baja",'Mapa final'!$AD$41="Mayor"),CONCATENATE("R12C",'Mapa final'!$R$41),"")</f>
        <v/>
      </c>
      <c r="U217" s="120" t="str">
        <f>IF(AND('Mapa final'!$AB$42="Muy Baja",'Mapa final'!$AD$42="Mayor"),CONCATENATE("R12C",'Mapa final'!$R$42),"")</f>
        <v/>
      </c>
      <c r="V217" s="45" t="str">
        <f>IF(AND('Mapa final'!$AB$40="Muy Baja",'Mapa final'!$AD$40="Catastrófico"),CONCATENATE("R12C",'Mapa final'!$R$40),"")</f>
        <v/>
      </c>
      <c r="W217" s="46" t="str">
        <f>IF(AND('Mapa final'!$AB$41="Muy Baja",'Mapa final'!$AD$41="Catastrófico"),CONCATENATE("R12C",'Mapa final'!$R$41),"")</f>
        <v/>
      </c>
      <c r="X217" s="114" t="str">
        <f>IF(AND('Mapa final'!$AB$42="Muy Baja",'Mapa final'!$AD$42="Catastrófico"),CONCATENATE("R12C",'Mapa final'!$R$42),"")</f>
        <v/>
      </c>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c r="BD217" s="58"/>
      <c r="BE217" s="58"/>
      <c r="BF217" s="58"/>
      <c r="BG217" s="58"/>
      <c r="BH217" s="58"/>
      <c r="BI217" s="58"/>
      <c r="BJ217" s="58"/>
      <c r="BK217" s="58"/>
      <c r="BL217" s="58"/>
      <c r="BM217" s="58"/>
    </row>
    <row r="218" spans="1:65" ht="15.75" x14ac:dyDescent="0.25">
      <c r="A218" s="58"/>
      <c r="B218" s="356"/>
      <c r="C218" s="356"/>
      <c r="D218" s="357"/>
      <c r="E218" s="369"/>
      <c r="F218" s="370"/>
      <c r="G218" s="370"/>
      <c r="H218" s="370"/>
      <c r="I218" s="370"/>
      <c r="J218" s="129" t="str">
        <f>IF(AND('Mapa final'!$AB$43="Muy Baja",'Mapa final'!$AD$43="Leve"),CONCATENATE("R13C",'Mapa final'!$R$43),"")</f>
        <v/>
      </c>
      <c r="K218" s="56" t="str">
        <f>IF(AND('Mapa final'!$AB$44="Muy Baja",'Mapa final'!$AD$44="Leve"),CONCATENATE("R13C",'Mapa final'!$R$44),"")</f>
        <v>R13C2</v>
      </c>
      <c r="L218" s="130" t="str">
        <f>IF(AND('Mapa final'!$AB$45="Muy Baja",'Mapa final'!$AD$45="Leve"),CONCATENATE("R13C",'Mapa final'!$R$45),"")</f>
        <v>R13C3</v>
      </c>
      <c r="M218" s="129" t="str">
        <f>IF(AND('Mapa final'!$AB$43="Muy Baja",'Mapa final'!$AD$43="Menor"),CONCATENATE("R13C",'Mapa final'!$R$43),"")</f>
        <v/>
      </c>
      <c r="N218" s="56" t="str">
        <f>IF(AND('Mapa final'!$AB$44="Muy Baja",'Mapa final'!$AD$44="Menor"),CONCATENATE("R13C",'Mapa final'!$R$44),"")</f>
        <v/>
      </c>
      <c r="O218" s="130" t="str">
        <f>IF(AND('Mapa final'!$AB$45="Muy Baja",'Mapa final'!$AD$45="Menor"),CONCATENATE("R13C",'Mapa final'!$R$45),"")</f>
        <v/>
      </c>
      <c r="P218" s="51" t="str">
        <f>IF(AND('Mapa final'!$AB$43="Muy Baja",'Mapa final'!$AD$43="Moderado"),CONCATENATE("R13C",'Mapa final'!$R$43),"")</f>
        <v>R13C1</v>
      </c>
      <c r="Q218" s="52" t="str">
        <f>IF(AND('Mapa final'!$AB$44="Muy Baja",'Mapa final'!$AD$44="Moderado"),CONCATENATE("R13C",'Mapa final'!$R$44),"")</f>
        <v/>
      </c>
      <c r="R218" s="125" t="str">
        <f>IF(AND('Mapa final'!$AB$45="Muy Baja",'Mapa final'!$AD$45="Moderado"),CONCATENATE("R13C",'Mapa final'!$R$45),"")</f>
        <v/>
      </c>
      <c r="S218" s="119" t="str">
        <f>IF(AND('Mapa final'!$AB$43="Muy Baja",'Mapa final'!$AD$43="Mayor"),CONCATENATE("R13C",'Mapa final'!$R$43),"")</f>
        <v/>
      </c>
      <c r="T218" s="44" t="str">
        <f>IF(AND('Mapa final'!$AB$44="Muy Baja",'Mapa final'!$AD$44="Mayor"),CONCATENATE("R13C",'Mapa final'!$R$44),"")</f>
        <v/>
      </c>
      <c r="U218" s="120" t="str">
        <f>IF(AND('Mapa final'!$AB$45="Muy Baja",'Mapa final'!$AD$45="Mayor"),CONCATENATE("R13C",'Mapa final'!$R$45),"")</f>
        <v/>
      </c>
      <c r="V218" s="45" t="str">
        <f>IF(AND('Mapa final'!$AB$43="Muy Baja",'Mapa final'!$AD$43="Catastrófico"),CONCATENATE("R13C",'Mapa final'!$R$43),"")</f>
        <v/>
      </c>
      <c r="W218" s="46" t="str">
        <f>IF(AND('Mapa final'!$AB$44="Muy Baja",'Mapa final'!$AD$44="Catastrófico"),CONCATENATE("R13C",'Mapa final'!$R$44),"")</f>
        <v/>
      </c>
      <c r="X218" s="114" t="str">
        <f>IF(AND('Mapa final'!$AB$45="Muy Baja",'Mapa final'!$AD$45="Catastrófico"),CONCATENATE("R13C",'Mapa final'!$R$45),"")</f>
        <v/>
      </c>
      <c r="Y218" s="58"/>
      <c r="Z218" s="58"/>
      <c r="AA218" s="58"/>
      <c r="AB218" s="58"/>
      <c r="AC218" s="58"/>
      <c r="AD218" s="58"/>
      <c r="AE218" s="58"/>
      <c r="AF218" s="58"/>
      <c r="AG218" s="58"/>
      <c r="AH218" s="58"/>
      <c r="AI218" s="58"/>
      <c r="AJ218" s="58"/>
      <c r="AK218" s="58"/>
      <c r="AL218" s="58"/>
      <c r="AM218" s="58"/>
      <c r="AN218" s="58"/>
      <c r="AO218" s="58"/>
      <c r="AP218" s="58"/>
      <c r="AQ218" s="58"/>
      <c r="AR218" s="58"/>
      <c r="AS218" s="58"/>
      <c r="AT218" s="58"/>
      <c r="AU218" s="58"/>
      <c r="AV218" s="58"/>
      <c r="AW218" s="58"/>
      <c r="AX218" s="58"/>
      <c r="AY218" s="58"/>
      <c r="AZ218" s="58"/>
      <c r="BA218" s="58"/>
      <c r="BB218" s="58"/>
      <c r="BC218" s="58"/>
      <c r="BD218" s="58"/>
      <c r="BE218" s="58"/>
      <c r="BF218" s="58"/>
      <c r="BG218" s="58"/>
      <c r="BH218" s="58"/>
      <c r="BI218" s="58"/>
      <c r="BJ218" s="58"/>
      <c r="BK218" s="58"/>
      <c r="BL218" s="58"/>
      <c r="BM218" s="58"/>
    </row>
    <row r="219" spans="1:65" ht="15.75" x14ac:dyDescent="0.25">
      <c r="A219" s="58"/>
      <c r="B219" s="356"/>
      <c r="C219" s="356"/>
      <c r="D219" s="357"/>
      <c r="E219" s="369"/>
      <c r="F219" s="370"/>
      <c r="G219" s="370"/>
      <c r="H219" s="370"/>
      <c r="I219" s="370"/>
      <c r="J219" s="129" t="e">
        <f>IF(AND('Mapa final'!#REF!="Muy Baja",'Mapa final'!#REF!="Leve"),CONCATENATE("R14C",'Mapa final'!#REF!),"")</f>
        <v>#REF!</v>
      </c>
      <c r="K219" s="56" t="e">
        <f>IF(AND('Mapa final'!#REF!="Muy Baja",'Mapa final'!#REF!="Leve"),CONCATENATE("R14C",'Mapa final'!#REF!),"")</f>
        <v>#REF!</v>
      </c>
      <c r="L219" s="130" t="e">
        <f>IF(AND('Mapa final'!#REF!="Muy Baja",'Mapa final'!#REF!="Leve"),CONCATENATE("R14C",'Mapa final'!#REF!),"")</f>
        <v>#REF!</v>
      </c>
      <c r="M219" s="129" t="e">
        <f>IF(AND('Mapa final'!#REF!="Muy Baja",'Mapa final'!#REF!="Menor"),CONCATENATE("R14C",'Mapa final'!#REF!),"")</f>
        <v>#REF!</v>
      </c>
      <c r="N219" s="56" t="e">
        <f>IF(AND('Mapa final'!#REF!="Muy Baja",'Mapa final'!#REF!="Menor"),CONCATENATE("R14C",'Mapa final'!#REF!),"")</f>
        <v>#REF!</v>
      </c>
      <c r="O219" s="130" t="e">
        <f>IF(AND('Mapa final'!#REF!="Muy Baja",'Mapa final'!#REF!="Menor"),CONCATENATE("R14C",'Mapa final'!#REF!),"")</f>
        <v>#REF!</v>
      </c>
      <c r="P219" s="51" t="e">
        <f>IF(AND('Mapa final'!#REF!="Muy Baja",'Mapa final'!#REF!="Moderado"),CONCATENATE("R14C",'Mapa final'!#REF!),"")</f>
        <v>#REF!</v>
      </c>
      <c r="Q219" s="52" t="e">
        <f>IF(AND('Mapa final'!#REF!="Muy Baja",'Mapa final'!#REF!="Moderado"),CONCATENATE("R14C",'Mapa final'!#REF!),"")</f>
        <v>#REF!</v>
      </c>
      <c r="R219" s="125" t="e">
        <f>IF(AND('Mapa final'!#REF!="Muy Baja",'Mapa final'!#REF!="Moderado"),CONCATENATE("R14C",'Mapa final'!#REF!),"")</f>
        <v>#REF!</v>
      </c>
      <c r="S219" s="119" t="e">
        <f>IF(AND('Mapa final'!#REF!="Muy Baja",'Mapa final'!#REF!="Mayor"),CONCATENATE("R14C",'Mapa final'!#REF!),"")</f>
        <v>#REF!</v>
      </c>
      <c r="T219" s="44" t="e">
        <f>IF(AND('Mapa final'!#REF!="Muy Baja",'Mapa final'!#REF!="Mayor"),CONCATENATE("R14C",'Mapa final'!#REF!),"")</f>
        <v>#REF!</v>
      </c>
      <c r="U219" s="120" t="e">
        <f>IF(AND('Mapa final'!#REF!="Muy Baja",'Mapa final'!#REF!="Mayor"),CONCATENATE("R14C",'Mapa final'!#REF!),"")</f>
        <v>#REF!</v>
      </c>
      <c r="V219" s="45" t="e">
        <f>IF(AND('Mapa final'!#REF!="Muy Baja",'Mapa final'!#REF!="Catastrófico"),CONCATENATE("R14C",'Mapa final'!#REF!),"")</f>
        <v>#REF!</v>
      </c>
      <c r="W219" s="46" t="e">
        <f>IF(AND('Mapa final'!#REF!="Muy Baja",'Mapa final'!#REF!="Catastrófico"),CONCATENATE("R14C",'Mapa final'!#REF!),"")</f>
        <v>#REF!</v>
      </c>
      <c r="X219" s="114" t="e">
        <f>IF(AND('Mapa final'!#REF!="Muy Baja",'Mapa final'!#REF!="Catastrófico"),CONCATENATE("R14C",'Mapa final'!#REF!),"")</f>
        <v>#REF!</v>
      </c>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c r="AX219" s="58"/>
      <c r="AY219" s="58"/>
      <c r="AZ219" s="58"/>
      <c r="BA219" s="58"/>
      <c r="BB219" s="58"/>
      <c r="BC219" s="58"/>
      <c r="BD219" s="58"/>
      <c r="BE219" s="58"/>
      <c r="BF219" s="58"/>
      <c r="BG219" s="58"/>
      <c r="BH219" s="58"/>
      <c r="BI219" s="58"/>
      <c r="BJ219" s="58"/>
      <c r="BK219" s="58"/>
      <c r="BL219" s="58"/>
      <c r="BM219" s="58"/>
    </row>
    <row r="220" spans="1:65" ht="15.75" x14ac:dyDescent="0.25">
      <c r="A220" s="58"/>
      <c r="B220" s="356"/>
      <c r="C220" s="356"/>
      <c r="D220" s="357"/>
      <c r="E220" s="369"/>
      <c r="F220" s="370"/>
      <c r="G220" s="370"/>
      <c r="H220" s="370"/>
      <c r="I220" s="370"/>
      <c r="J220" s="129" t="str">
        <f>IF(AND('Mapa final'!$AB$46="Muy Baja",'Mapa final'!$AD$46="Leve"),CONCATENATE("R15C",'Mapa final'!$R$46),"")</f>
        <v/>
      </c>
      <c r="K220" s="56" t="str">
        <f>IF(AND('Mapa final'!$AB$47="Muy Baja",'Mapa final'!$AD$47="Leve"),CONCATENATE("R15C",'Mapa final'!$R$47),"")</f>
        <v>R15C2</v>
      </c>
      <c r="L220" s="130" t="str">
        <f>IF(AND('Mapa final'!$AB$48="Muy Baja",'Mapa final'!$AD$48="Leve"),CONCATENATE("R15C",'Mapa final'!$R$48),"")</f>
        <v>R15C3</v>
      </c>
      <c r="M220" s="129" t="str">
        <f>IF(AND('Mapa final'!$AB$46="Muy Baja",'Mapa final'!$AD$46="Menor"),CONCATENATE("R15C",'Mapa final'!$R$46),"")</f>
        <v/>
      </c>
      <c r="N220" s="56" t="str">
        <f>IF(AND('Mapa final'!$AB$47="Muy Baja",'Mapa final'!$AD$47="Menor"),CONCATENATE("R15C",'Mapa final'!$R$47),"")</f>
        <v/>
      </c>
      <c r="O220" s="130" t="str">
        <f>IF(AND('Mapa final'!$AB$48="Muy Baja",'Mapa final'!$AD$48="Menor"),CONCATENATE("R15C",'Mapa final'!$R$48),"")</f>
        <v/>
      </c>
      <c r="P220" s="51" t="str">
        <f>IF(AND('Mapa final'!$AB$46="Muy Baja",'Mapa final'!$AD$46="Moderado"),CONCATENATE("R15C",'Mapa final'!$R$46),"")</f>
        <v/>
      </c>
      <c r="Q220" s="52" t="str">
        <f>IF(AND('Mapa final'!$AB$47="Muy Baja",'Mapa final'!$AD$47="Moderado"),CONCATENATE("R15C",'Mapa final'!$R$47),"")</f>
        <v/>
      </c>
      <c r="R220" s="125" t="str">
        <f>IF(AND('Mapa final'!$AB$48="Muy Baja",'Mapa final'!$AD$48="Moderado"),CONCATENATE("R15C",'Mapa final'!$R$48),"")</f>
        <v/>
      </c>
      <c r="S220" s="119" t="str">
        <f>IF(AND('Mapa final'!$AB$46="Muy Baja",'Mapa final'!$AD$46="Mayor"),CONCATENATE("R15C",'Mapa final'!$R$46),"")</f>
        <v/>
      </c>
      <c r="T220" s="44" t="str">
        <f>IF(AND('Mapa final'!$AB$47="Muy Baja",'Mapa final'!$AD$47="Mayor"),CONCATENATE("R15C",'Mapa final'!$R$47),"")</f>
        <v/>
      </c>
      <c r="U220" s="120" t="str">
        <f>IF(AND('Mapa final'!$AB$48="Muy Baja",'Mapa final'!$AD$48="Mayor"),CONCATENATE("R15C",'Mapa final'!$R$48),"")</f>
        <v/>
      </c>
      <c r="V220" s="45" t="str">
        <f>IF(AND('Mapa final'!$AB$46="Muy Baja",'Mapa final'!$AD$46="Catastrófico"),CONCATENATE("R15C",'Mapa final'!$R$46),"")</f>
        <v/>
      </c>
      <c r="W220" s="46" t="str">
        <f>IF(AND('Mapa final'!$AB$47="Muy Baja",'Mapa final'!$AD$47="Catastrófico"),CONCATENATE("R15C",'Mapa final'!$R$47),"")</f>
        <v/>
      </c>
      <c r="X220" s="114" t="str">
        <f>IF(AND('Mapa final'!$AB$48="Muy Baja",'Mapa final'!$AD$48="Catastrófico"),CONCATENATE("R15C",'Mapa final'!$R$48),"")</f>
        <v/>
      </c>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c r="AY220" s="58"/>
      <c r="AZ220" s="58"/>
      <c r="BA220" s="58"/>
      <c r="BB220" s="58"/>
      <c r="BC220" s="58"/>
      <c r="BD220" s="58"/>
      <c r="BE220" s="58"/>
      <c r="BF220" s="58"/>
      <c r="BG220" s="58"/>
      <c r="BH220" s="58"/>
      <c r="BI220" s="58"/>
      <c r="BJ220" s="58"/>
      <c r="BK220" s="58"/>
      <c r="BL220" s="58"/>
      <c r="BM220" s="58"/>
    </row>
    <row r="221" spans="1:65" ht="15.75" x14ac:dyDescent="0.25">
      <c r="A221" s="58"/>
      <c r="B221" s="356"/>
      <c r="C221" s="356"/>
      <c r="D221" s="357"/>
      <c r="E221" s="369"/>
      <c r="F221" s="370"/>
      <c r="G221" s="370"/>
      <c r="H221" s="370"/>
      <c r="I221" s="370"/>
      <c r="J221" s="129" t="str">
        <f>IF(AND('Mapa final'!$AB$49="Muy Baja",'Mapa final'!$AD$49="Leve"),CONCATENATE("R16C",'Mapa final'!$R$49),"")</f>
        <v/>
      </c>
      <c r="K221" s="56" t="str">
        <f>IF(AND('Mapa final'!$AB$50="Muy Baja",'Mapa final'!$AD$50="Leve"),CONCATENATE("R16C",'Mapa final'!$R$50),"")</f>
        <v>R16C2</v>
      </c>
      <c r="L221" s="130" t="str">
        <f>IF(AND('Mapa final'!$AB$51="Muy Baja",'Mapa final'!$AD$51="Leve"),CONCATENATE("R16C",'Mapa final'!$R$51),"")</f>
        <v>R16C3</v>
      </c>
      <c r="M221" s="129" t="str">
        <f>IF(AND('Mapa final'!$AB$49="Muy Baja",'Mapa final'!$AD$49="Menor"),CONCATENATE("R16C",'Mapa final'!$R$49),"")</f>
        <v/>
      </c>
      <c r="N221" s="56" t="str">
        <f>IF(AND('Mapa final'!$AB$50="Muy Baja",'Mapa final'!$AD$50="Menor"),CONCATENATE("R16C",'Mapa final'!$R$50),"")</f>
        <v/>
      </c>
      <c r="O221" s="130" t="str">
        <f>IF(AND('Mapa final'!$AB$51="Muy Baja",'Mapa final'!$AD$51="Menor"),CONCATENATE("R16C",'Mapa final'!$R$51),"")</f>
        <v/>
      </c>
      <c r="P221" s="51" t="str">
        <f>IF(AND('Mapa final'!$AB$49="Muy Baja",'Mapa final'!$AD$49="Moderado"),CONCATENATE("R16C",'Mapa final'!$R$49),"")</f>
        <v/>
      </c>
      <c r="Q221" s="52" t="str">
        <f>IF(AND('Mapa final'!$AB$50="Muy Baja",'Mapa final'!$AD$50="Moderado"),CONCATENATE("R16C",'Mapa final'!$R$50),"")</f>
        <v/>
      </c>
      <c r="R221" s="125" t="str">
        <f>IF(AND('Mapa final'!$AB$51="Muy Baja",'Mapa final'!$AD$51="Moderado"),CONCATENATE("R16C",'Mapa final'!$R$51),"")</f>
        <v/>
      </c>
      <c r="S221" s="119" t="str">
        <f>IF(AND('Mapa final'!$AB$49="Muy Baja",'Mapa final'!$AD$49="Mayor"),CONCATENATE("R16C",'Mapa final'!$R$49),"")</f>
        <v/>
      </c>
      <c r="T221" s="44" t="str">
        <f>IF(AND('Mapa final'!$AB$50="Muy Baja",'Mapa final'!$AD$50="Mayor"),CONCATENATE("R16C",'Mapa final'!$R$50),"")</f>
        <v/>
      </c>
      <c r="U221" s="120" t="str">
        <f>IF(AND('Mapa final'!$AB$51="Muy Baja",'Mapa final'!$AD$51="Mayor"),CONCATENATE("R16C",'Mapa final'!$R$51),"")</f>
        <v/>
      </c>
      <c r="V221" s="45" t="str">
        <f>IF(AND('Mapa final'!$AB$49="Muy Baja",'Mapa final'!$AD$49="Catastrófico"),CONCATENATE("R16C",'Mapa final'!$R$49),"")</f>
        <v/>
      </c>
      <c r="W221" s="46" t="str">
        <f>IF(AND('Mapa final'!$AB$50="Muy Baja",'Mapa final'!$AD$50="Catastrófico"),CONCATENATE("R16C",'Mapa final'!$R$50),"")</f>
        <v/>
      </c>
      <c r="X221" s="114" t="str">
        <f>IF(AND('Mapa final'!$AB$51="Muy Baja",'Mapa final'!$AD$51="Catastrófico"),CONCATENATE("R16C",'Mapa final'!$R$51),"")</f>
        <v/>
      </c>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c r="BI221" s="58"/>
      <c r="BJ221" s="58"/>
      <c r="BK221" s="58"/>
      <c r="BL221" s="58"/>
      <c r="BM221" s="58"/>
    </row>
    <row r="222" spans="1:65" ht="15.75" x14ac:dyDescent="0.25">
      <c r="A222" s="58"/>
      <c r="B222" s="356"/>
      <c r="C222" s="356"/>
      <c r="D222" s="357"/>
      <c r="E222" s="369"/>
      <c r="F222" s="370"/>
      <c r="G222" s="370"/>
      <c r="H222" s="370"/>
      <c r="I222" s="370"/>
      <c r="J222" s="129" t="str">
        <f>IF(AND('Mapa final'!$AB$52="Muy Baja",'Mapa final'!$AD$52="Leve"),CONCATENATE("R17C",'Mapa final'!$R$52),"")</f>
        <v/>
      </c>
      <c r="K222" s="56" t="str">
        <f>IF(AND('Mapa final'!$AB$53="Muy Baja",'Mapa final'!$AD$53="Leve"),CONCATENATE("R17C",'Mapa final'!$R$53),"")</f>
        <v>R17C2</v>
      </c>
      <c r="L222" s="130" t="str">
        <f>IF(AND('Mapa final'!$AB$54="Muy Baja",'Mapa final'!$AD$54="Leve"),CONCATENATE("R17C",'Mapa final'!$R$54),"")</f>
        <v>R17C3</v>
      </c>
      <c r="M222" s="129" t="str">
        <f>IF(AND('Mapa final'!$AB$52="Muy Baja",'Mapa final'!$AD$52="Menor"),CONCATENATE("R17C",'Mapa final'!$R$52),"")</f>
        <v/>
      </c>
      <c r="N222" s="56" t="str">
        <f>IF(AND('Mapa final'!$AB$53="Muy Baja",'Mapa final'!$AD$53="Menor"),CONCATENATE("R17C",'Mapa final'!$R$53),"")</f>
        <v/>
      </c>
      <c r="O222" s="130" t="str">
        <f>IF(AND('Mapa final'!$AB$54="Muy Baja",'Mapa final'!$AD$54="Menor"),CONCATENATE("R17C",'Mapa final'!$R$54),"")</f>
        <v/>
      </c>
      <c r="P222" s="51" t="str">
        <f>IF(AND('Mapa final'!$AB$52="Muy Baja",'Mapa final'!$AD$52="Moderado"),CONCATENATE("R17C",'Mapa final'!$R$52),"")</f>
        <v/>
      </c>
      <c r="Q222" s="52" t="str">
        <f>IF(AND('Mapa final'!$AB$53="Muy Baja",'Mapa final'!$AD$53="Moderado"),CONCATENATE("R17C",'Mapa final'!$R$53),"")</f>
        <v/>
      </c>
      <c r="R222" s="125" t="str">
        <f>IF(AND('Mapa final'!$AB$54="Muy Baja",'Mapa final'!$AD$54="Moderado"),CONCATENATE("R17C",'Mapa final'!$R$54),"")</f>
        <v/>
      </c>
      <c r="S222" s="119" t="str">
        <f>IF(AND('Mapa final'!$AB$52="Muy Baja",'Mapa final'!$AD$52="Mayor"),CONCATENATE("R17C",'Mapa final'!$R$52),"")</f>
        <v/>
      </c>
      <c r="T222" s="44" t="str">
        <f>IF(AND('Mapa final'!$AB$53="Muy Baja",'Mapa final'!$AD$53="Mayor"),CONCATENATE("R17C",'Mapa final'!$R$53),"")</f>
        <v/>
      </c>
      <c r="U222" s="120" t="str">
        <f>IF(AND('Mapa final'!$AB$54="Muy Baja",'Mapa final'!$AD$54="Mayor"),CONCATENATE("R17C",'Mapa final'!$R$54),"")</f>
        <v/>
      </c>
      <c r="V222" s="45" t="str">
        <f>IF(AND('Mapa final'!$AB$52="Muy Baja",'Mapa final'!$AD$52="Catastrófico"),CONCATENATE("R17C",'Mapa final'!$R$52),"")</f>
        <v/>
      </c>
      <c r="W222" s="46" t="str">
        <f>IF(AND('Mapa final'!$AB$53="Muy Baja",'Mapa final'!$AD$53="Catastrófico"),CONCATENATE("R17C",'Mapa final'!$R$53),"")</f>
        <v/>
      </c>
      <c r="X222" s="114" t="str">
        <f>IF(AND('Mapa final'!$AB$54="Muy Baja",'Mapa final'!$AD$54="Catastrófico"),CONCATENATE("R17C",'Mapa final'!$R$54),"")</f>
        <v/>
      </c>
      <c r="Y222" s="58"/>
      <c r="Z222" s="58"/>
      <c r="AA222" s="58"/>
      <c r="AB222" s="58"/>
      <c r="AC222" s="58"/>
      <c r="AD222" s="58"/>
      <c r="AE222" s="58"/>
      <c r="AF222" s="58"/>
      <c r="AG222" s="58"/>
      <c r="AH222" s="58"/>
      <c r="AI222" s="58"/>
      <c r="AJ222" s="58"/>
      <c r="AK222" s="58"/>
      <c r="AL222" s="58"/>
      <c r="AM222" s="58"/>
      <c r="AN222" s="58"/>
      <c r="AO222" s="58"/>
      <c r="AP222" s="58"/>
      <c r="AQ222" s="58"/>
      <c r="AR222" s="58"/>
      <c r="AS222" s="58"/>
      <c r="AT222" s="58"/>
      <c r="AU222" s="58"/>
      <c r="AV222" s="58"/>
      <c r="AW222" s="58"/>
      <c r="AX222" s="58"/>
      <c r="AY222" s="58"/>
      <c r="AZ222" s="58"/>
      <c r="BA222" s="58"/>
      <c r="BB222" s="58"/>
      <c r="BC222" s="58"/>
      <c r="BD222" s="58"/>
      <c r="BE222" s="58"/>
      <c r="BF222" s="58"/>
      <c r="BG222" s="58"/>
      <c r="BH222" s="58"/>
      <c r="BI222" s="58"/>
      <c r="BJ222" s="58"/>
      <c r="BK222" s="58"/>
      <c r="BL222" s="58"/>
      <c r="BM222" s="58"/>
    </row>
    <row r="223" spans="1:65" ht="15.75" x14ac:dyDescent="0.25">
      <c r="A223" s="58"/>
      <c r="B223" s="356"/>
      <c r="C223" s="356"/>
      <c r="D223" s="357"/>
      <c r="E223" s="369"/>
      <c r="F223" s="370"/>
      <c r="G223" s="370"/>
      <c r="H223" s="370"/>
      <c r="I223" s="370"/>
      <c r="J223" s="129" t="str">
        <f>IF(AND('Mapa final'!$AB$55="Muy Baja",'Mapa final'!$AD$55="Leve"),CONCATENATE("R18C",'Mapa final'!$R$55),"")</f>
        <v/>
      </c>
      <c r="K223" s="56" t="str">
        <f>IF(AND('Mapa final'!$AB$56="Muy Baja",'Mapa final'!$AD$56="Leve"),CONCATENATE("R18C",'Mapa final'!$R$56),"")</f>
        <v>R18C2</v>
      </c>
      <c r="L223" s="130" t="str">
        <f>IF(AND('Mapa final'!$AB$57="Muy Baja",'Mapa final'!$AD$57="Leve"),CONCATENATE("R18C",'Mapa final'!$R$57),"")</f>
        <v>R18C3</v>
      </c>
      <c r="M223" s="129" t="str">
        <f>IF(AND('Mapa final'!$AB$55="Muy Baja",'Mapa final'!$AD$55="Menor"),CONCATENATE("R18C",'Mapa final'!$R$55),"")</f>
        <v/>
      </c>
      <c r="N223" s="56" t="str">
        <f>IF(AND('Mapa final'!$AB$56="Muy Baja",'Mapa final'!$AD$56="Menor"),CONCATENATE("R18C",'Mapa final'!$R$56),"")</f>
        <v/>
      </c>
      <c r="O223" s="130" t="str">
        <f>IF(AND('Mapa final'!$AB$57="Muy Baja",'Mapa final'!$AD$57="Menor"),CONCATENATE("R18C",'Mapa final'!$R$57),"")</f>
        <v/>
      </c>
      <c r="P223" s="51" t="str">
        <f>IF(AND('Mapa final'!$AB$55="Muy Baja",'Mapa final'!$AD$55="Moderado"),CONCATENATE("R18C",'Mapa final'!$R$55),"")</f>
        <v/>
      </c>
      <c r="Q223" s="52" t="str">
        <f>IF(AND('Mapa final'!$AB$56="Muy Baja",'Mapa final'!$AD$56="Moderado"),CONCATENATE("R18C",'Mapa final'!$R$56),"")</f>
        <v/>
      </c>
      <c r="R223" s="125" t="str">
        <f>IF(AND('Mapa final'!$AB$57="Muy Baja",'Mapa final'!$AD$57="Moderado"),CONCATENATE("R18C",'Mapa final'!$R$57),"")</f>
        <v/>
      </c>
      <c r="S223" s="119" t="str">
        <f>IF(AND('Mapa final'!$AB$55="Muy Baja",'Mapa final'!$AD$55="Mayor"),CONCATENATE("R18C",'Mapa final'!$R$55),"")</f>
        <v/>
      </c>
      <c r="T223" s="44" t="str">
        <f>IF(AND('Mapa final'!$AB$56="Muy Baja",'Mapa final'!$AD$56="Mayor"),CONCATENATE("R18C",'Mapa final'!$R$56),"")</f>
        <v/>
      </c>
      <c r="U223" s="120" t="str">
        <f>IF(AND('Mapa final'!$AB$57="Muy Baja",'Mapa final'!$AD$57="Mayor"),CONCATENATE("R18C",'Mapa final'!$R$57),"")</f>
        <v/>
      </c>
      <c r="V223" s="45" t="str">
        <f>IF(AND('Mapa final'!$AB$55="Muy Baja",'Mapa final'!$AD$55="Catastrófico"),CONCATENATE("R18C",'Mapa final'!$R$55),"")</f>
        <v/>
      </c>
      <c r="W223" s="46" t="str">
        <f>IF(AND('Mapa final'!$AB$56="Muy Baja",'Mapa final'!$AD$56="Catastrófico"),CONCATENATE("R18C",'Mapa final'!$R$56),"")</f>
        <v/>
      </c>
      <c r="X223" s="114" t="str">
        <f>IF(AND('Mapa final'!$AB$57="Muy Baja",'Mapa final'!$AD$57="Catastrófico"),CONCATENATE("R18C",'Mapa final'!$R$57),"")</f>
        <v/>
      </c>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c r="BI223" s="58"/>
      <c r="BJ223" s="58"/>
      <c r="BK223" s="58"/>
      <c r="BL223" s="58"/>
      <c r="BM223" s="58"/>
    </row>
    <row r="224" spans="1:65" ht="15.75" x14ac:dyDescent="0.25">
      <c r="A224" s="58"/>
      <c r="B224" s="356"/>
      <c r="C224" s="356"/>
      <c r="D224" s="357"/>
      <c r="E224" s="369"/>
      <c r="F224" s="370"/>
      <c r="G224" s="370"/>
      <c r="H224" s="370"/>
      <c r="I224" s="370"/>
      <c r="J224" s="129" t="str">
        <f>IF(AND('Mapa final'!$AB$58="Muy Baja",'Mapa final'!$AD$58="Leve"),CONCATENATE("R19C",'Mapa final'!$R$58),"")</f>
        <v/>
      </c>
      <c r="K224" s="56" t="str">
        <f>IF(AND('Mapa final'!$AB$59="Muy Baja",'Mapa final'!$AD$59="Leve"),CONCATENATE("R19C",'Mapa final'!$R$59),"")</f>
        <v>R19C2</v>
      </c>
      <c r="L224" s="130" t="str">
        <f>IF(AND('Mapa final'!$AB$60="Muy Baja",'Mapa final'!$AD$60="Leve"),CONCATENATE("R19C",'Mapa final'!$R$60),"")</f>
        <v>R19C3</v>
      </c>
      <c r="M224" s="129" t="str">
        <f>IF(AND('Mapa final'!$AB$58="Muy Baja",'Mapa final'!$AD$58="Menor"),CONCATENATE("R19C",'Mapa final'!$R$58),"")</f>
        <v/>
      </c>
      <c r="N224" s="56" t="str">
        <f>IF(AND('Mapa final'!$AB$59="Muy Baja",'Mapa final'!$AD$59="Menor"),CONCATENATE("R19C",'Mapa final'!$R$59),"")</f>
        <v/>
      </c>
      <c r="O224" s="130" t="str">
        <f>IF(AND('Mapa final'!$AB$60="Muy Baja",'Mapa final'!$AD$60="Menor"),CONCATENATE("R19C",'Mapa final'!$R$60),"")</f>
        <v/>
      </c>
      <c r="P224" s="51" t="str">
        <f>IF(AND('Mapa final'!$AB$58="Muy Baja",'Mapa final'!$AD$58="Moderado"),CONCATENATE("R19C",'Mapa final'!$R$58),"")</f>
        <v/>
      </c>
      <c r="Q224" s="52" t="str">
        <f>IF(AND('Mapa final'!$AB$59="Muy Baja",'Mapa final'!$AD$59="Moderado"),CONCATENATE("R19C",'Mapa final'!$R$59),"")</f>
        <v/>
      </c>
      <c r="R224" s="125" t="str">
        <f>IF(AND('Mapa final'!$AB$60="Muy Baja",'Mapa final'!$AD$60="Moderado"),CONCATENATE("R19C",'Mapa final'!$R$60),"")</f>
        <v/>
      </c>
      <c r="S224" s="119" t="str">
        <f>IF(AND('Mapa final'!$AB$58="Muy Baja",'Mapa final'!$AD$58="Mayor"),CONCATENATE("R19C",'Mapa final'!$R$58),"")</f>
        <v/>
      </c>
      <c r="T224" s="44" t="str">
        <f>IF(AND('Mapa final'!$AB$59="Muy Baja",'Mapa final'!$AD$59="Mayor"),CONCATENATE("R19C",'Mapa final'!$R$59),"")</f>
        <v/>
      </c>
      <c r="U224" s="120" t="str">
        <f>IF(AND('Mapa final'!$AB$60="Muy Baja",'Mapa final'!$AD$60="Mayor"),CONCATENATE("R19C",'Mapa final'!$R$60),"")</f>
        <v/>
      </c>
      <c r="V224" s="45" t="str">
        <f>IF(AND('Mapa final'!$AB$58="Muy Baja",'Mapa final'!$AD$58="Catastrófico"),CONCATENATE("R19C",'Mapa final'!$R$58),"")</f>
        <v/>
      </c>
      <c r="W224" s="46" t="str">
        <f>IF(AND('Mapa final'!$AB$59="Muy Baja",'Mapa final'!$AD$59="Catastrófico"),CONCATENATE("R19C",'Mapa final'!$R$59),"")</f>
        <v/>
      </c>
      <c r="X224" s="114" t="str">
        <f>IF(AND('Mapa final'!$AB$60="Muy Baja",'Mapa final'!$AD$60="Catastrófico"),CONCATENATE("R19C",'Mapa final'!$R$60),"")</f>
        <v/>
      </c>
      <c r="Y224" s="58"/>
      <c r="Z224" s="58"/>
      <c r="AA224" s="58"/>
      <c r="AB224" s="58"/>
      <c r="AC224" s="58"/>
      <c r="AD224" s="58"/>
      <c r="AE224" s="58"/>
      <c r="AF224" s="58"/>
      <c r="AG224" s="58"/>
      <c r="AH224" s="58"/>
      <c r="AI224" s="58"/>
      <c r="AJ224" s="58"/>
      <c r="AK224" s="58"/>
      <c r="AL224" s="58"/>
      <c r="AM224" s="58"/>
      <c r="AN224" s="58"/>
      <c r="AO224" s="58"/>
      <c r="AP224" s="58"/>
      <c r="AQ224" s="58"/>
      <c r="AR224" s="58"/>
      <c r="AS224" s="58"/>
      <c r="AT224" s="58"/>
      <c r="AU224" s="58"/>
      <c r="AV224" s="58"/>
      <c r="AW224" s="58"/>
      <c r="AX224" s="58"/>
      <c r="AY224" s="58"/>
      <c r="AZ224" s="58"/>
      <c r="BA224" s="58"/>
      <c r="BB224" s="58"/>
      <c r="BC224" s="58"/>
      <c r="BD224" s="58"/>
      <c r="BE224" s="58"/>
      <c r="BF224" s="58"/>
      <c r="BG224" s="58"/>
      <c r="BH224" s="58"/>
      <c r="BI224" s="58"/>
      <c r="BJ224" s="58"/>
      <c r="BK224" s="58"/>
      <c r="BL224" s="58"/>
      <c r="BM224" s="58"/>
    </row>
    <row r="225" spans="1:65" ht="15.75" x14ac:dyDescent="0.25">
      <c r="A225" s="58"/>
      <c r="B225" s="356"/>
      <c r="C225" s="356"/>
      <c r="D225" s="357"/>
      <c r="E225" s="369"/>
      <c r="F225" s="370"/>
      <c r="G225" s="370"/>
      <c r="H225" s="370"/>
      <c r="I225" s="370"/>
      <c r="J225" s="129" t="str">
        <f>IF(AND('Mapa final'!$AB$61="Muy Baja",'Mapa final'!$AD$61="Leve"),CONCATENATE("R20C",'Mapa final'!$R$61),"")</f>
        <v/>
      </c>
      <c r="K225" s="56" t="str">
        <f>IF(AND('Mapa final'!$AB$62="Muy Baja",'Mapa final'!$AD$62="Leve"),CONCATENATE("R20C",'Mapa final'!$R$62),"")</f>
        <v>R20C2</v>
      </c>
      <c r="L225" s="130" t="str">
        <f>IF(AND('Mapa final'!$AB$63="Muy Baja",'Mapa final'!$AD$63="Leve"),CONCATENATE("R20C",'Mapa final'!$R$63),"")</f>
        <v>R20C3</v>
      </c>
      <c r="M225" s="129" t="str">
        <f>IF(AND('Mapa final'!$AB$61="Muy Baja",'Mapa final'!$AD$61="Menor"),CONCATENATE("R20C",'Mapa final'!$R$61),"")</f>
        <v/>
      </c>
      <c r="N225" s="56" t="str">
        <f>IF(AND('Mapa final'!$AB$62="Muy Baja",'Mapa final'!$AD$62="Menor"),CONCATENATE("R20C",'Mapa final'!$R$62),"")</f>
        <v/>
      </c>
      <c r="O225" s="130" t="str">
        <f>IF(AND('Mapa final'!$AB$63="Muy Baja",'Mapa final'!$AD$63="Menor"),CONCATENATE("R20C",'Mapa final'!$R$63),"")</f>
        <v/>
      </c>
      <c r="P225" s="51" t="str">
        <f>IF(AND('Mapa final'!$AB$61="Muy Baja",'Mapa final'!$AD$61="Moderado"),CONCATENATE("R20C",'Mapa final'!$R$61),"")</f>
        <v/>
      </c>
      <c r="Q225" s="52" t="str">
        <f>IF(AND('Mapa final'!$AB$62="Muy Baja",'Mapa final'!$AD$62="Moderado"),CONCATENATE("R20C",'Mapa final'!$R$62),"")</f>
        <v/>
      </c>
      <c r="R225" s="125" t="str">
        <f>IF(AND('Mapa final'!$AB$63="Muy Baja",'Mapa final'!$AD$63="Moderado"),CONCATENATE("R20C",'Mapa final'!$R$63),"")</f>
        <v/>
      </c>
      <c r="S225" s="119" t="str">
        <f>IF(AND('Mapa final'!$AB$61="Muy Baja",'Mapa final'!$AD$61="Mayor"),CONCATENATE("R20C",'Mapa final'!$R$61),"")</f>
        <v/>
      </c>
      <c r="T225" s="44" t="str">
        <f>IF(AND('Mapa final'!$AB$62="Muy Baja",'Mapa final'!$AD$62="Mayor"),CONCATENATE("R20C",'Mapa final'!$R$62),"")</f>
        <v/>
      </c>
      <c r="U225" s="120" t="str">
        <f>IF(AND('Mapa final'!$AB$63="Muy Baja",'Mapa final'!$AD$63="Mayor"),CONCATENATE("R20C",'Mapa final'!$R$63),"")</f>
        <v/>
      </c>
      <c r="V225" s="45" t="str">
        <f>IF(AND('Mapa final'!$AB$61="Muy Baja",'Mapa final'!$AD$61="Catastrófico"),CONCATENATE("R20C",'Mapa final'!$R$61),"")</f>
        <v/>
      </c>
      <c r="W225" s="46" t="str">
        <f>IF(AND('Mapa final'!$AB$62="Muy Baja",'Mapa final'!$AD$62="Catastrófico"),CONCATENATE("R20C",'Mapa final'!$R$62),"")</f>
        <v/>
      </c>
      <c r="X225" s="114" t="str">
        <f>IF(AND('Mapa final'!$AB$63="Muy Baja",'Mapa final'!$AD$63="Catastrófico"),CONCATENATE("R20C",'Mapa final'!$R$63),"")</f>
        <v/>
      </c>
      <c r="Y225" s="58"/>
      <c r="Z225" s="58"/>
      <c r="AA225" s="58"/>
      <c r="AB225" s="58"/>
      <c r="AC225" s="58"/>
      <c r="AD225" s="58"/>
      <c r="AE225" s="58"/>
      <c r="AF225" s="58"/>
      <c r="AG225" s="58"/>
      <c r="AH225" s="58"/>
      <c r="AI225" s="58"/>
      <c r="AJ225" s="58"/>
      <c r="AK225" s="58"/>
      <c r="AL225" s="58"/>
      <c r="AM225" s="58"/>
      <c r="AN225" s="58"/>
      <c r="AO225" s="58"/>
      <c r="AP225" s="58"/>
      <c r="AQ225" s="58"/>
      <c r="AR225" s="58"/>
      <c r="AS225" s="58"/>
      <c r="AT225" s="58"/>
      <c r="AU225" s="58"/>
      <c r="AV225" s="58"/>
      <c r="AW225" s="58"/>
      <c r="AX225" s="58"/>
      <c r="AY225" s="58"/>
      <c r="AZ225" s="58"/>
      <c r="BA225" s="58"/>
      <c r="BB225" s="58"/>
      <c r="BC225" s="58"/>
      <c r="BD225" s="58"/>
      <c r="BE225" s="58"/>
      <c r="BF225" s="58"/>
      <c r="BG225" s="58"/>
      <c r="BH225" s="58"/>
      <c r="BI225" s="58"/>
      <c r="BJ225" s="58"/>
      <c r="BK225" s="58"/>
      <c r="BL225" s="58"/>
      <c r="BM225" s="58"/>
    </row>
    <row r="226" spans="1:65" ht="15.75" x14ac:dyDescent="0.25">
      <c r="A226" s="58"/>
      <c r="B226" s="356"/>
      <c r="C226" s="356"/>
      <c r="D226" s="357"/>
      <c r="E226" s="369"/>
      <c r="F226" s="370"/>
      <c r="G226" s="370"/>
      <c r="H226" s="370"/>
      <c r="I226" s="370"/>
      <c r="J226" s="129" t="str">
        <f>IF(AND('Mapa final'!$AB$64="Muy Baja",'Mapa final'!$AD$64="Leve"),CONCATENATE("R21C",'Mapa final'!$R$64),"")</f>
        <v/>
      </c>
      <c r="K226" s="56" t="str">
        <f>IF(AND('Mapa final'!$AB$65="Muy Baja",'Mapa final'!$AD$65="Leve"),CONCATENATE("R21C",'Mapa final'!$R$65),"")</f>
        <v>R21C2</v>
      </c>
      <c r="L226" s="130" t="str">
        <f>IF(AND('Mapa final'!$AB$66="Muy Baja",'Mapa final'!$AD$66="Leve"),CONCATENATE("R21C",'Mapa final'!$R$66),"")</f>
        <v>R21C3</v>
      </c>
      <c r="M226" s="129" t="str">
        <f>IF(AND('Mapa final'!$AB$64="Muy Baja",'Mapa final'!$AD$64="Menor"),CONCATENATE("R21C",'Mapa final'!$R$64),"")</f>
        <v/>
      </c>
      <c r="N226" s="56" t="str">
        <f>IF(AND('Mapa final'!$AB$65="Muy Baja",'Mapa final'!$AD$65="Menor"),CONCATENATE("R21C",'Mapa final'!$R$65),"")</f>
        <v/>
      </c>
      <c r="O226" s="130" t="str">
        <f>IF(AND('Mapa final'!$AB$66="Muy Baja",'Mapa final'!$AD$66="Menor"),CONCATENATE("R21C",'Mapa final'!$R$66),"")</f>
        <v/>
      </c>
      <c r="P226" s="51" t="str">
        <f>IF(AND('Mapa final'!$AB$64="Muy Baja",'Mapa final'!$AD$64="Moderado"),CONCATENATE("R21C",'Mapa final'!$R$64),"")</f>
        <v/>
      </c>
      <c r="Q226" s="52" t="str">
        <f>IF(AND('Mapa final'!$AB$65="Muy Baja",'Mapa final'!$AD$65="Moderado"),CONCATENATE("R21C",'Mapa final'!$R$65),"")</f>
        <v/>
      </c>
      <c r="R226" s="125" t="str">
        <f>IF(AND('Mapa final'!$AB$66="Muy Baja",'Mapa final'!$AD$66="Moderado"),CONCATENATE("R21C",'Mapa final'!$R$66),"")</f>
        <v/>
      </c>
      <c r="S226" s="119" t="str">
        <f>IF(AND('Mapa final'!$AB$64="Muy Baja",'Mapa final'!$AD$64="Mayor"),CONCATENATE("R21C",'Mapa final'!$R$64),"")</f>
        <v/>
      </c>
      <c r="T226" s="44" t="str">
        <f>IF(AND('Mapa final'!$AB$65="Muy Baja",'Mapa final'!$AD$65="Mayor"),CONCATENATE("R21C",'Mapa final'!$R$65),"")</f>
        <v/>
      </c>
      <c r="U226" s="120" t="str">
        <f>IF(AND('Mapa final'!$AB$66="Muy Baja",'Mapa final'!$AD$66="Mayor"),CONCATENATE("R21C",'Mapa final'!$R$66),"")</f>
        <v/>
      </c>
      <c r="V226" s="45" t="str">
        <f>IF(AND('Mapa final'!$AB$64="Muy Baja",'Mapa final'!$AD$64="Catastrófico"),CONCATENATE("R21C",'Mapa final'!$R$64),"")</f>
        <v/>
      </c>
      <c r="W226" s="46" t="str">
        <f>IF(AND('Mapa final'!$AB$65="Muy Baja",'Mapa final'!$AD$65="Catastrófico"),CONCATENATE("R21C",'Mapa final'!$R$65),"")</f>
        <v/>
      </c>
      <c r="X226" s="114" t="str">
        <f>IF(AND('Mapa final'!$AB$66="Muy Baja",'Mapa final'!$AD$66="Catastrófico"),CONCATENATE("R21C",'Mapa final'!$R$66),"")</f>
        <v/>
      </c>
      <c r="Y226" s="58"/>
      <c r="Z226" s="58"/>
      <c r="AA226" s="58"/>
      <c r="AB226" s="58"/>
      <c r="AC226" s="58"/>
      <c r="AD226" s="58"/>
      <c r="AE226" s="58"/>
      <c r="AF226" s="58"/>
      <c r="AG226" s="58"/>
      <c r="AH226" s="58"/>
      <c r="AI226" s="58"/>
      <c r="AJ226" s="58"/>
      <c r="AK226" s="58"/>
      <c r="AL226" s="58"/>
      <c r="AM226" s="58"/>
      <c r="AN226" s="58"/>
      <c r="AO226" s="58"/>
      <c r="AP226" s="58"/>
      <c r="AQ226" s="58"/>
      <c r="AR226" s="58"/>
      <c r="AS226" s="58"/>
      <c r="AT226" s="58"/>
      <c r="AU226" s="58"/>
      <c r="AV226" s="58"/>
      <c r="AW226" s="58"/>
      <c r="AX226" s="58"/>
      <c r="AY226" s="58"/>
      <c r="AZ226" s="58"/>
      <c r="BA226" s="58"/>
      <c r="BB226" s="58"/>
      <c r="BC226" s="58"/>
      <c r="BD226" s="58"/>
      <c r="BE226" s="58"/>
      <c r="BF226" s="58"/>
      <c r="BG226" s="58"/>
      <c r="BH226" s="58"/>
      <c r="BI226" s="58"/>
      <c r="BJ226" s="58"/>
      <c r="BK226" s="58"/>
      <c r="BL226" s="58"/>
      <c r="BM226" s="58"/>
    </row>
    <row r="227" spans="1:65" ht="15.75" x14ac:dyDescent="0.25">
      <c r="A227" s="58"/>
      <c r="B227" s="356"/>
      <c r="C227" s="356"/>
      <c r="D227" s="357"/>
      <c r="E227" s="369"/>
      <c r="F227" s="370"/>
      <c r="G227" s="370"/>
      <c r="H227" s="370"/>
      <c r="I227" s="370"/>
      <c r="J227" s="129" t="str">
        <f>IF(AND('Mapa final'!$AB$67="Muy Baja",'Mapa final'!$AD$67="Leve"),CONCATENATE("R22C",'Mapa final'!$R$67),"")</f>
        <v/>
      </c>
      <c r="K227" s="56" t="str">
        <f>IF(AND('Mapa final'!$AB$68="Muy Baja",'Mapa final'!$AD$68="Leve"),CONCATENATE("R22C",'Mapa final'!$R$68),"")</f>
        <v>R22C2</v>
      </c>
      <c r="L227" s="130" t="str">
        <f>IF(AND('Mapa final'!$AB$69="Muy Baja",'Mapa final'!$AD$69="Leve"),CONCATENATE("R22C",'Mapa final'!$R$69),"")</f>
        <v>R22C3</v>
      </c>
      <c r="M227" s="129" t="str">
        <f>IF(AND('Mapa final'!$AB$67="Muy Baja",'Mapa final'!$AD$67="Menor"),CONCATENATE("R22C",'Mapa final'!$R$67),"")</f>
        <v/>
      </c>
      <c r="N227" s="56" t="str">
        <f>IF(AND('Mapa final'!$AB$68="Muy Baja",'Mapa final'!$AD$68="Menor"),CONCATENATE("R22C",'Mapa final'!$R$68),"")</f>
        <v/>
      </c>
      <c r="O227" s="130" t="str">
        <f>IF(AND('Mapa final'!$AB$69="Muy Baja",'Mapa final'!$AD$69="Menor"),CONCATENATE("R22C",'Mapa final'!$R$69),"")</f>
        <v/>
      </c>
      <c r="P227" s="51" t="str">
        <f>IF(AND('Mapa final'!$AB$67="Muy Baja",'Mapa final'!$AD$67="Moderado"),CONCATENATE("R22C",'Mapa final'!$R$67),"")</f>
        <v/>
      </c>
      <c r="Q227" s="52" t="str">
        <f>IF(AND('Mapa final'!$AB$68="Muy Baja",'Mapa final'!$AD$68="Moderado"),CONCATENATE("R22C",'Mapa final'!$R$68),"")</f>
        <v/>
      </c>
      <c r="R227" s="125" t="str">
        <f>IF(AND('Mapa final'!$AB$69="Muy Baja",'Mapa final'!$AD$69="Moderado"),CONCATENATE("R22C",'Mapa final'!$R$69),"")</f>
        <v/>
      </c>
      <c r="S227" s="119" t="str">
        <f>IF(AND('Mapa final'!$AB$67="Muy Baja",'Mapa final'!$AD$67="Mayor"),CONCATENATE("R22C",'Mapa final'!$R$67),"")</f>
        <v/>
      </c>
      <c r="T227" s="44" t="str">
        <f>IF(AND('Mapa final'!$AB$68="Muy Baja",'Mapa final'!$AD$68="Mayor"),CONCATENATE("R22C",'Mapa final'!$R$68),"")</f>
        <v/>
      </c>
      <c r="U227" s="120" t="str">
        <f>IF(AND('Mapa final'!$AB$69="Muy Baja",'Mapa final'!$AD$69="Mayor"),CONCATENATE("R22C",'Mapa final'!$R$69),"")</f>
        <v/>
      </c>
      <c r="V227" s="45" t="str">
        <f>IF(AND('Mapa final'!$AB$67="Muy Baja",'Mapa final'!$AD$67="Catastrófico"),CONCATENATE("R22C",'Mapa final'!$R$67),"")</f>
        <v/>
      </c>
      <c r="W227" s="46" t="str">
        <f>IF(AND('Mapa final'!$AB$68="Muy Baja",'Mapa final'!$AD$68="Catastrófico"),CONCATENATE("R22C",'Mapa final'!$R$68),"")</f>
        <v/>
      </c>
      <c r="X227" s="114" t="str">
        <f>IF(AND('Mapa final'!$AB$69="Muy Baja",'Mapa final'!$AD$69="Catastrófico"),CONCATENATE("R22C",'Mapa final'!$R$69),"")</f>
        <v/>
      </c>
      <c r="Y227" s="58"/>
      <c r="Z227" s="58"/>
      <c r="AA227" s="58"/>
      <c r="AB227" s="58"/>
      <c r="AC227" s="58"/>
      <c r="AD227" s="58"/>
      <c r="AE227" s="58"/>
      <c r="AF227" s="58"/>
      <c r="AG227" s="58"/>
      <c r="AH227" s="58"/>
      <c r="AI227" s="58"/>
      <c r="AJ227" s="58"/>
      <c r="AK227" s="58"/>
      <c r="AL227" s="58"/>
      <c r="AM227" s="58"/>
      <c r="AN227" s="58"/>
      <c r="AO227" s="58"/>
      <c r="AP227" s="58"/>
      <c r="AQ227" s="58"/>
      <c r="AR227" s="58"/>
      <c r="AS227" s="58"/>
      <c r="AT227" s="58"/>
      <c r="AU227" s="58"/>
      <c r="AV227" s="58"/>
      <c r="AW227" s="58"/>
      <c r="AX227" s="58"/>
      <c r="AY227" s="58"/>
      <c r="AZ227" s="58"/>
      <c r="BA227" s="58"/>
      <c r="BB227" s="58"/>
      <c r="BC227" s="58"/>
      <c r="BD227" s="58"/>
      <c r="BE227" s="58"/>
      <c r="BF227" s="58"/>
      <c r="BG227" s="58"/>
      <c r="BH227" s="58"/>
      <c r="BI227" s="58"/>
      <c r="BJ227" s="58"/>
      <c r="BK227" s="58"/>
      <c r="BL227" s="58"/>
      <c r="BM227" s="58"/>
    </row>
    <row r="228" spans="1:65" ht="15.75" x14ac:dyDescent="0.25">
      <c r="A228" s="58"/>
      <c r="B228" s="356"/>
      <c r="C228" s="356"/>
      <c r="D228" s="357"/>
      <c r="E228" s="369"/>
      <c r="F228" s="370"/>
      <c r="G228" s="370"/>
      <c r="H228" s="370"/>
      <c r="I228" s="370"/>
      <c r="J228" s="129" t="str">
        <f>IF(AND('Mapa final'!$AB$70="Muy Baja",'Mapa final'!$AD$70="Leve"),CONCATENATE("R23C",'Mapa final'!$R$70),"")</f>
        <v/>
      </c>
      <c r="K228" s="56" t="str">
        <f>IF(AND('Mapa final'!$AB$71="Muy Baja",'Mapa final'!$AD$71="Leve"),CONCATENATE("R23C",'Mapa final'!$R$71),"")</f>
        <v>R23C2</v>
      </c>
      <c r="L228" s="130" t="str">
        <f>IF(AND('Mapa final'!$AB$72="Muy Baja",'Mapa final'!$AD$72="Leve"),CONCATENATE("R23C",'Mapa final'!$R$72),"")</f>
        <v>R23C3</v>
      </c>
      <c r="M228" s="129" t="str">
        <f>IF(AND('Mapa final'!$AB$70="Muy Baja",'Mapa final'!$AD$70="Menor"),CONCATENATE("R23C",'Mapa final'!$R$70),"")</f>
        <v/>
      </c>
      <c r="N228" s="56" t="str">
        <f>IF(AND('Mapa final'!$AB$71="Muy Baja",'Mapa final'!$AD$71="Menor"),CONCATENATE("R23C",'Mapa final'!$R$71),"")</f>
        <v/>
      </c>
      <c r="O228" s="130" t="str">
        <f>IF(AND('Mapa final'!$AB$72="Muy Baja",'Mapa final'!$AD$72="Menor"),CONCATENATE("R23C",'Mapa final'!$R$72),"")</f>
        <v/>
      </c>
      <c r="P228" s="51" t="str">
        <f>IF(AND('Mapa final'!$AB$70="Muy Baja",'Mapa final'!$AD$70="Moderado"),CONCATENATE("R23C",'Mapa final'!$R$70),"")</f>
        <v/>
      </c>
      <c r="Q228" s="52" t="str">
        <f>IF(AND('Mapa final'!$AB$71="Muy Baja",'Mapa final'!$AD$71="Moderado"),CONCATENATE("R23C",'Mapa final'!$R$71),"")</f>
        <v/>
      </c>
      <c r="R228" s="125" t="str">
        <f>IF(AND('Mapa final'!$AB$72="Muy Baja",'Mapa final'!$AD$72="Moderado"),CONCATENATE("R23C",'Mapa final'!$R$72),"")</f>
        <v/>
      </c>
      <c r="S228" s="119" t="str">
        <f>IF(AND('Mapa final'!$AB$70="Muy Baja",'Mapa final'!$AD$70="Mayor"),CONCATENATE("R23C",'Mapa final'!$R$70),"")</f>
        <v/>
      </c>
      <c r="T228" s="44" t="str">
        <f>IF(AND('Mapa final'!$AB$71="Muy Baja",'Mapa final'!$AD$71="Mayor"),CONCATENATE("R23C",'Mapa final'!$R$71),"")</f>
        <v/>
      </c>
      <c r="U228" s="120" t="str">
        <f>IF(AND('Mapa final'!$AB$72="Muy Baja",'Mapa final'!$AD$72="Mayor"),CONCATENATE("R23C",'Mapa final'!$R$72),"")</f>
        <v/>
      </c>
      <c r="V228" s="45" t="str">
        <f>IF(AND('Mapa final'!$AB$70="Muy Baja",'Mapa final'!$AD$70="Catastrófico"),CONCATENATE("R23C",'Mapa final'!$R$70),"")</f>
        <v/>
      </c>
      <c r="W228" s="46" t="str">
        <f>IF(AND('Mapa final'!$AB$71="Muy Baja",'Mapa final'!$AD$71="Catastrófico"),CONCATENATE("R23C",'Mapa final'!$R$71),"")</f>
        <v/>
      </c>
      <c r="X228" s="114" t="str">
        <f>IF(AND('Mapa final'!$AB$72="Muy Baja",'Mapa final'!$AD$72="Catastrófico"),CONCATENATE("R23C",'Mapa final'!$R$72),"")</f>
        <v/>
      </c>
      <c r="Y228" s="58"/>
      <c r="Z228" s="58"/>
      <c r="AA228" s="58"/>
      <c r="AB228" s="58"/>
      <c r="AC228" s="58"/>
      <c r="AD228" s="58"/>
      <c r="AE228" s="58"/>
      <c r="AF228" s="58"/>
      <c r="AG228" s="58"/>
      <c r="AH228" s="58"/>
      <c r="AI228" s="58"/>
      <c r="AJ228" s="58"/>
      <c r="AK228" s="58"/>
      <c r="AL228" s="58"/>
      <c r="AM228" s="58"/>
      <c r="AN228" s="58"/>
      <c r="AO228" s="58"/>
      <c r="AP228" s="58"/>
      <c r="AQ228" s="58"/>
      <c r="AR228" s="58"/>
      <c r="AS228" s="58"/>
      <c r="AT228" s="58"/>
      <c r="AU228" s="58"/>
      <c r="AV228" s="58"/>
      <c r="AW228" s="58"/>
      <c r="AX228" s="58"/>
      <c r="AY228" s="58"/>
      <c r="AZ228" s="58"/>
      <c r="BA228" s="58"/>
      <c r="BB228" s="58"/>
      <c r="BC228" s="58"/>
      <c r="BD228" s="58"/>
      <c r="BE228" s="58"/>
      <c r="BF228" s="58"/>
      <c r="BG228" s="58"/>
      <c r="BH228" s="58"/>
      <c r="BI228" s="58"/>
      <c r="BJ228" s="58"/>
      <c r="BK228" s="58"/>
      <c r="BL228" s="58"/>
      <c r="BM228" s="58"/>
    </row>
    <row r="229" spans="1:65" ht="15.75" x14ac:dyDescent="0.25">
      <c r="A229" s="58"/>
      <c r="B229" s="356"/>
      <c r="C229" s="356"/>
      <c r="D229" s="357"/>
      <c r="E229" s="369"/>
      <c r="F229" s="370"/>
      <c r="G229" s="370"/>
      <c r="H229" s="370"/>
      <c r="I229" s="370"/>
      <c r="J229" s="129" t="str">
        <f>IF(AND('Mapa final'!$AB$73="Muy Baja",'Mapa final'!$AD$73="Leve"),CONCATENATE("R24C",'Mapa final'!$R$73),"")</f>
        <v/>
      </c>
      <c r="K229" s="56" t="str">
        <f>IF(AND('Mapa final'!$AB$74="Muy Baja",'Mapa final'!$AD$74="Leve"),CONCATENATE("R24C",'Mapa final'!$R$74),"")</f>
        <v>R24C2</v>
      </c>
      <c r="L229" s="130" t="str">
        <f>IF(AND('Mapa final'!$AB$75="Muy Baja",'Mapa final'!$AD$75="Leve"),CONCATENATE("R24C",'Mapa final'!$R$75),"")</f>
        <v>R24C3</v>
      </c>
      <c r="M229" s="129" t="str">
        <f>IF(AND('Mapa final'!$AB$73="Muy Baja",'Mapa final'!$AD$73="Menor"),CONCATENATE("R24C",'Mapa final'!$R$73),"")</f>
        <v/>
      </c>
      <c r="N229" s="56" t="str">
        <f>IF(AND('Mapa final'!$AB$74="Muy Baja",'Mapa final'!$AD$74="Menor"),CONCATENATE("R24C",'Mapa final'!$R$74),"")</f>
        <v/>
      </c>
      <c r="O229" s="130" t="str">
        <f>IF(AND('Mapa final'!$AB$75="Muy Baja",'Mapa final'!$AD$75="Menor"),CONCATENATE("R24C",'Mapa final'!$R$75),"")</f>
        <v/>
      </c>
      <c r="P229" s="51" t="str">
        <f>IF(AND('Mapa final'!$AB$73="Muy Baja",'Mapa final'!$AD$73="Moderado"),CONCATENATE("R24C",'Mapa final'!$R$73),"")</f>
        <v/>
      </c>
      <c r="Q229" s="52" t="str">
        <f>IF(AND('Mapa final'!$AB$74="Muy Baja",'Mapa final'!$AD$74="Moderado"),CONCATENATE("R24C",'Mapa final'!$R$74),"")</f>
        <v/>
      </c>
      <c r="R229" s="125" t="str">
        <f>IF(AND('Mapa final'!$AB$75="Muy Baja",'Mapa final'!$AD$75="Moderado"),CONCATENATE("R24C",'Mapa final'!$R$75),"")</f>
        <v/>
      </c>
      <c r="S229" s="119" t="str">
        <f>IF(AND('Mapa final'!$AB$73="Muy Baja",'Mapa final'!$AD$73="Mayor"),CONCATENATE("R24C",'Mapa final'!$R$73),"")</f>
        <v/>
      </c>
      <c r="T229" s="44" t="str">
        <f>IF(AND('Mapa final'!$AB$74="Muy Baja",'Mapa final'!$AD$74="Mayor"),CONCATENATE("R24C",'Mapa final'!$R$74),"")</f>
        <v/>
      </c>
      <c r="U229" s="120" t="str">
        <f>IF(AND('Mapa final'!$AB$75="Muy Baja",'Mapa final'!$AD$75="Mayor"),CONCATENATE("R24C",'Mapa final'!$R$75),"")</f>
        <v/>
      </c>
      <c r="V229" s="45" t="str">
        <f>IF(AND('Mapa final'!$AB$73="Muy Baja",'Mapa final'!$AD$73="Catastrófico"),CONCATENATE("R24C",'Mapa final'!$R$73),"")</f>
        <v/>
      </c>
      <c r="W229" s="46" t="str">
        <f>IF(AND('Mapa final'!$AB$74="Muy Baja",'Mapa final'!$AD$74="Catastrófico"),CONCATENATE("R24C",'Mapa final'!$R$74),"")</f>
        <v/>
      </c>
      <c r="X229" s="114" t="str">
        <f>IF(AND('Mapa final'!$AB$75="Muy Baja",'Mapa final'!$AD$75="Catastrófico"),CONCATENATE("R24C",'Mapa final'!$R$75),"")</f>
        <v/>
      </c>
      <c r="Y229" s="58"/>
      <c r="Z229" s="58"/>
      <c r="AA229" s="58"/>
      <c r="AB229" s="58"/>
      <c r="AC229" s="58"/>
      <c r="AD229" s="58"/>
      <c r="AE229" s="58"/>
      <c r="AF229" s="58"/>
      <c r="AG229" s="58"/>
      <c r="AH229" s="58"/>
      <c r="AI229" s="58"/>
      <c r="AJ229" s="58"/>
      <c r="AK229" s="58"/>
      <c r="AL229" s="58"/>
      <c r="AM229" s="58"/>
      <c r="AN229" s="58"/>
      <c r="AO229" s="58"/>
      <c r="AP229" s="58"/>
      <c r="AQ229" s="58"/>
      <c r="AR229" s="58"/>
      <c r="AS229" s="58"/>
      <c r="AT229" s="58"/>
      <c r="AU229" s="58"/>
      <c r="AV229" s="58"/>
      <c r="AW229" s="58"/>
      <c r="AX229" s="58"/>
      <c r="AY229" s="58"/>
      <c r="AZ229" s="58"/>
      <c r="BA229" s="58"/>
      <c r="BB229" s="58"/>
      <c r="BC229" s="58"/>
      <c r="BD229" s="58"/>
      <c r="BE229" s="58"/>
      <c r="BF229" s="58"/>
      <c r="BG229" s="58"/>
      <c r="BH229" s="58"/>
      <c r="BI229" s="58"/>
      <c r="BJ229" s="58"/>
      <c r="BK229" s="58"/>
      <c r="BL229" s="58"/>
      <c r="BM229" s="58"/>
    </row>
    <row r="230" spans="1:65" ht="15.75" x14ac:dyDescent="0.25">
      <c r="A230" s="58"/>
      <c r="B230" s="356"/>
      <c r="C230" s="356"/>
      <c r="D230" s="357"/>
      <c r="E230" s="369"/>
      <c r="F230" s="370"/>
      <c r="G230" s="370"/>
      <c r="H230" s="370"/>
      <c r="I230" s="370"/>
      <c r="J230" s="129" t="str">
        <f>IF(AND('Mapa final'!$AB$76="Muy Baja",'Mapa final'!$AD$76="Leve"),CONCATENATE("R25C",'Mapa final'!$R$76),"")</f>
        <v/>
      </c>
      <c r="K230" s="56" t="str">
        <f>IF(AND('Mapa final'!$AB$77="Muy Baja",'Mapa final'!$AD$77="Leve"),CONCATENATE("R25C",'Mapa final'!$R$77),"")</f>
        <v>R25C2</v>
      </c>
      <c r="L230" s="130" t="str">
        <f>IF(AND('Mapa final'!$AB$78="Muy Baja",'Mapa final'!$AD$78="Leve"),CONCATENATE("R25C",'Mapa final'!$R$78),"")</f>
        <v>R25C3</v>
      </c>
      <c r="M230" s="129" t="str">
        <f>IF(AND('Mapa final'!$AB$76="Muy Baja",'Mapa final'!$AD$76="Menor"),CONCATENATE("R25C",'Mapa final'!$R$76),"")</f>
        <v/>
      </c>
      <c r="N230" s="56" t="str">
        <f>IF(AND('Mapa final'!$AB$77="Muy Baja",'Mapa final'!$AD$77="Menor"),CONCATENATE("R25C",'Mapa final'!$R$77),"")</f>
        <v/>
      </c>
      <c r="O230" s="130" t="str">
        <f>IF(AND('Mapa final'!$AB$78="Muy Baja",'Mapa final'!$AD$78="Menor"),CONCATENATE("R25C",'Mapa final'!$R$78),"")</f>
        <v/>
      </c>
      <c r="P230" s="51" t="str">
        <f>IF(AND('Mapa final'!$AB$76="Muy Baja",'Mapa final'!$AD$76="Moderado"),CONCATENATE("R25C",'Mapa final'!$R$76),"")</f>
        <v/>
      </c>
      <c r="Q230" s="52" t="str">
        <f>IF(AND('Mapa final'!$AB$77="Muy Baja",'Mapa final'!$AD$77="Moderado"),CONCATENATE("R25C",'Mapa final'!$R$77),"")</f>
        <v/>
      </c>
      <c r="R230" s="125" t="str">
        <f>IF(AND('Mapa final'!$AB$78="Muy Baja",'Mapa final'!$AD$78="Moderado"),CONCATENATE("R25C",'Mapa final'!$R$78),"")</f>
        <v/>
      </c>
      <c r="S230" s="119" t="str">
        <f>IF(AND('Mapa final'!$AB$76="Muy Baja",'Mapa final'!$AD$76="Mayor"),CONCATENATE("R25C",'Mapa final'!$R$76),"")</f>
        <v/>
      </c>
      <c r="T230" s="44" t="str">
        <f>IF(AND('Mapa final'!$AB$77="Muy Baja",'Mapa final'!$AD$77="Mayor"),CONCATENATE("R25C",'Mapa final'!$R$77),"")</f>
        <v/>
      </c>
      <c r="U230" s="120" t="str">
        <f>IF(AND('Mapa final'!$AB$78="Muy Baja",'Mapa final'!$AD$78="Mayor"),CONCATENATE("R25C",'Mapa final'!$R$78),"")</f>
        <v/>
      </c>
      <c r="V230" s="45" t="str">
        <f>IF(AND('Mapa final'!$AB$76="Muy Baja",'Mapa final'!$AD$76="Catastrófico"),CONCATENATE("R25C",'Mapa final'!$R$76),"")</f>
        <v/>
      </c>
      <c r="W230" s="46" t="str">
        <f>IF(AND('Mapa final'!$AB$77="Muy Baja",'Mapa final'!$AD$77="Catastrófico"),CONCATENATE("R25C",'Mapa final'!$R$77),"")</f>
        <v/>
      </c>
      <c r="X230" s="114" t="str">
        <f>IF(AND('Mapa final'!$AB$78="Muy Baja",'Mapa final'!$AD$78="Catastrófico"),CONCATENATE("R25C",'Mapa final'!$R$78),"")</f>
        <v/>
      </c>
      <c r="Y230" s="58"/>
      <c r="Z230" s="58"/>
      <c r="AA230" s="58"/>
      <c r="AB230" s="58"/>
      <c r="AC230" s="58"/>
      <c r="AD230" s="58"/>
      <c r="AE230" s="58"/>
      <c r="AF230" s="58"/>
      <c r="AG230" s="58"/>
      <c r="AH230" s="58"/>
      <c r="AI230" s="58"/>
      <c r="AJ230" s="58"/>
      <c r="AK230" s="58"/>
      <c r="AL230" s="58"/>
      <c r="AM230" s="58"/>
      <c r="AN230" s="58"/>
      <c r="AO230" s="58"/>
      <c r="AP230" s="58"/>
      <c r="AQ230" s="58"/>
      <c r="AR230" s="58"/>
      <c r="AS230" s="58"/>
      <c r="AT230" s="58"/>
      <c r="AU230" s="58"/>
      <c r="AV230" s="58"/>
      <c r="AW230" s="58"/>
      <c r="AX230" s="58"/>
      <c r="AY230" s="58"/>
      <c r="AZ230" s="58"/>
      <c r="BA230" s="58"/>
      <c r="BB230" s="58"/>
      <c r="BC230" s="58"/>
      <c r="BD230" s="58"/>
      <c r="BE230" s="58"/>
      <c r="BF230" s="58"/>
      <c r="BG230" s="58"/>
      <c r="BH230" s="58"/>
      <c r="BI230" s="58"/>
      <c r="BJ230" s="58"/>
      <c r="BK230" s="58"/>
      <c r="BL230" s="58"/>
      <c r="BM230" s="58"/>
    </row>
    <row r="231" spans="1:65" ht="15.75" x14ac:dyDescent="0.25">
      <c r="A231" s="58"/>
      <c r="B231" s="356"/>
      <c r="C231" s="356"/>
      <c r="D231" s="357"/>
      <c r="E231" s="369"/>
      <c r="F231" s="370"/>
      <c r="G231" s="370"/>
      <c r="H231" s="370"/>
      <c r="I231" s="370"/>
      <c r="J231" s="129" t="str">
        <f>IF(AND('Mapa final'!$AB$79="Muy Baja",'Mapa final'!$AD$79="Leve"),CONCATENATE("R26C",'Mapa final'!$R$79),"")</f>
        <v/>
      </c>
      <c r="K231" s="56" t="str">
        <f>IF(AND('Mapa final'!$AB$80="Muy Baja",'Mapa final'!$AD$80="Leve"),CONCATENATE("R26C",'Mapa final'!$R$80),"")</f>
        <v>R26C2</v>
      </c>
      <c r="L231" s="130" t="str">
        <f>IF(AND('Mapa final'!$AB$81="Muy Baja",'Mapa final'!$AD$81="Leve"),CONCATENATE("R26C",'Mapa final'!$R$81),"")</f>
        <v>R26C3</v>
      </c>
      <c r="M231" s="129" t="str">
        <f>IF(AND('Mapa final'!$AB$79="Muy Baja",'Mapa final'!$AD$79="Menor"),CONCATENATE("R26C",'Mapa final'!$R$79),"")</f>
        <v/>
      </c>
      <c r="N231" s="56" t="str">
        <f>IF(AND('Mapa final'!$AB$80="Muy Baja",'Mapa final'!$AD$80="Menor"),CONCATENATE("R26C",'Mapa final'!$R$80),"")</f>
        <v/>
      </c>
      <c r="O231" s="130" t="str">
        <f>IF(AND('Mapa final'!$AB$81="Muy Baja",'Mapa final'!$AD$81="Menor"),CONCATENATE("R26C",'Mapa final'!$R$81),"")</f>
        <v/>
      </c>
      <c r="P231" s="51" t="str">
        <f>IF(AND('Mapa final'!$AB$79="Muy Baja",'Mapa final'!$AD$79="Moderado"),CONCATENATE("R26C",'Mapa final'!$R$79),"")</f>
        <v/>
      </c>
      <c r="Q231" s="52" t="str">
        <f>IF(AND('Mapa final'!$AB$80="Muy Baja",'Mapa final'!$AD$80="Moderado"),CONCATENATE("R26C",'Mapa final'!$R$80),"")</f>
        <v/>
      </c>
      <c r="R231" s="125" t="str">
        <f>IF(AND('Mapa final'!$AB$81="Muy Baja",'Mapa final'!$AD$81="Moderado"),CONCATENATE("R26C",'Mapa final'!$R$81),"")</f>
        <v/>
      </c>
      <c r="S231" s="119" t="str">
        <f>IF(AND('Mapa final'!$AB$79="Muy Baja",'Mapa final'!$AD$79="Mayor"),CONCATENATE("R26C",'Mapa final'!$R$79),"")</f>
        <v/>
      </c>
      <c r="T231" s="44" t="str">
        <f>IF(AND('Mapa final'!$AB$80="Muy Baja",'Mapa final'!$AD$80="Mayor"),CONCATENATE("R26C",'Mapa final'!$R$80),"")</f>
        <v/>
      </c>
      <c r="U231" s="120" t="str">
        <f>IF(AND('Mapa final'!$AB$81="Muy Baja",'Mapa final'!$AD$81="Mayor"),CONCATENATE("R26C",'Mapa final'!$R$81),"")</f>
        <v/>
      </c>
      <c r="V231" s="45" t="str">
        <f>IF(AND('Mapa final'!$AB$79="Muy Baja",'Mapa final'!$AD$79="Catastrófico"),CONCATENATE("R26C",'Mapa final'!$R$79),"")</f>
        <v/>
      </c>
      <c r="W231" s="46" t="str">
        <f>IF(AND('Mapa final'!$AB$80="Muy Baja",'Mapa final'!$AD$80="Catastrófico"),CONCATENATE("R26C",'Mapa final'!$R$80),"")</f>
        <v/>
      </c>
      <c r="X231" s="114" t="str">
        <f>IF(AND('Mapa final'!$AB$81="Muy Baja",'Mapa final'!$AD$81="Catastrófico"),CONCATENATE("R26C",'Mapa final'!$R$81),"")</f>
        <v/>
      </c>
      <c r="Y231" s="58"/>
      <c r="Z231" s="58"/>
      <c r="AA231" s="58"/>
      <c r="AB231" s="58"/>
      <c r="AC231" s="58"/>
      <c r="AD231" s="58"/>
      <c r="AE231" s="58"/>
      <c r="AF231" s="58"/>
      <c r="AG231" s="58"/>
      <c r="AH231" s="58"/>
      <c r="AI231" s="58"/>
      <c r="AJ231" s="58"/>
      <c r="AK231" s="58"/>
      <c r="AL231" s="58"/>
      <c r="AM231" s="58"/>
      <c r="AN231" s="58"/>
      <c r="AO231" s="58"/>
      <c r="AP231" s="58"/>
      <c r="AQ231" s="58"/>
      <c r="AR231" s="58"/>
      <c r="AS231" s="58"/>
      <c r="AT231" s="58"/>
      <c r="AU231" s="58"/>
      <c r="AV231" s="58"/>
      <c r="AW231" s="58"/>
      <c r="AX231" s="58"/>
      <c r="AY231" s="58"/>
      <c r="AZ231" s="58"/>
      <c r="BA231" s="58"/>
      <c r="BB231" s="58"/>
      <c r="BC231" s="58"/>
      <c r="BD231" s="58"/>
      <c r="BE231" s="58"/>
      <c r="BF231" s="58"/>
      <c r="BG231" s="58"/>
      <c r="BH231" s="58"/>
      <c r="BI231" s="58"/>
      <c r="BJ231" s="58"/>
      <c r="BK231" s="58"/>
      <c r="BL231" s="58"/>
      <c r="BM231" s="58"/>
    </row>
    <row r="232" spans="1:65" ht="15.75" x14ac:dyDescent="0.25">
      <c r="A232" s="58"/>
      <c r="B232" s="356"/>
      <c r="C232" s="356"/>
      <c r="D232" s="357"/>
      <c r="E232" s="369"/>
      <c r="F232" s="370"/>
      <c r="G232" s="370"/>
      <c r="H232" s="370"/>
      <c r="I232" s="370"/>
      <c r="J232" s="129" t="str">
        <f>IF(AND('Mapa final'!$AB$82="Muy Baja",'Mapa final'!$AD$82="Leve"),CONCATENATE("R27C",'Mapa final'!$R$82),"")</f>
        <v/>
      </c>
      <c r="K232" s="56" t="str">
        <f>IF(AND('Mapa final'!$AB$83="Muy Baja",'Mapa final'!$AD$83="Leve"),CONCATENATE("R27C",'Mapa final'!$R$83),"")</f>
        <v>R27C2</v>
      </c>
      <c r="L232" s="130" t="str">
        <f>IF(AND('Mapa final'!$AB$84="Muy Baja",'Mapa final'!$AD$84="Leve"),CONCATENATE("R27C",'Mapa final'!$R$84),"")</f>
        <v>R27C3</v>
      </c>
      <c r="M232" s="129" t="str">
        <f>IF(AND('Mapa final'!$AB$82="Muy Baja",'Mapa final'!$AD$82="Menor"),CONCATENATE("R27C",'Mapa final'!$R$82),"")</f>
        <v/>
      </c>
      <c r="N232" s="56" t="str">
        <f>IF(AND('Mapa final'!$AB$83="Muy Baja",'Mapa final'!$AD$83="Menor"),CONCATENATE("R27C",'Mapa final'!$R$83),"")</f>
        <v/>
      </c>
      <c r="O232" s="130" t="str">
        <f>IF(AND('Mapa final'!$AB$84="Muy Baja",'Mapa final'!$AD$84="Menor"),CONCATENATE("R27C",'Mapa final'!$R$84),"")</f>
        <v/>
      </c>
      <c r="P232" s="51" t="str">
        <f>IF(AND('Mapa final'!$AB$82="Muy Baja",'Mapa final'!$AD$82="Moderado"),CONCATENATE("R27C",'Mapa final'!$R$82),"")</f>
        <v/>
      </c>
      <c r="Q232" s="52" t="str">
        <f>IF(AND('Mapa final'!$AB$83="Muy Baja",'Mapa final'!$AD$83="Moderado"),CONCATENATE("R27C",'Mapa final'!$R$83),"")</f>
        <v/>
      </c>
      <c r="R232" s="125" t="str">
        <f>IF(AND('Mapa final'!$AB$84="Muy Baja",'Mapa final'!$AD$84="Moderado"),CONCATENATE("R27C",'Mapa final'!$R$84),"")</f>
        <v/>
      </c>
      <c r="S232" s="119" t="str">
        <f>IF(AND('Mapa final'!$AB$82="Muy Baja",'Mapa final'!$AD$82="Mayor"),CONCATENATE("R27C",'Mapa final'!$R$82),"")</f>
        <v/>
      </c>
      <c r="T232" s="44" t="str">
        <f>IF(AND('Mapa final'!$AB$83="Muy Baja",'Mapa final'!$AD$83="Mayor"),CONCATENATE("R27C",'Mapa final'!$R$83),"")</f>
        <v/>
      </c>
      <c r="U232" s="120" t="str">
        <f>IF(AND('Mapa final'!$AB$84="Muy Baja",'Mapa final'!$AD$84="Mayor"),CONCATENATE("R27C",'Mapa final'!$R$84),"")</f>
        <v/>
      </c>
      <c r="V232" s="45" t="str">
        <f>IF(AND('Mapa final'!$AB$82="Muy Baja",'Mapa final'!$AD$82="Catastrófico"),CONCATENATE("R27C",'Mapa final'!$R$82),"")</f>
        <v/>
      </c>
      <c r="W232" s="46" t="str">
        <f>IF(AND('Mapa final'!$AB$83="Muy Baja",'Mapa final'!$AD$83="Catastrófico"),CONCATENATE("R27C",'Mapa final'!$R$83),"")</f>
        <v/>
      </c>
      <c r="X232" s="114" t="str">
        <f>IF(AND('Mapa final'!$AB$84="Muy Baja",'Mapa final'!$AD$84="Catastrófico"),CONCATENATE("R27C",'Mapa final'!$R$84),"")</f>
        <v/>
      </c>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row>
    <row r="233" spans="1:65" ht="15" customHeight="1" x14ac:dyDescent="0.25">
      <c r="A233" s="58"/>
      <c r="B233" s="356"/>
      <c r="C233" s="356"/>
      <c r="D233" s="357"/>
      <c r="E233" s="369"/>
      <c r="F233" s="370"/>
      <c r="G233" s="370"/>
      <c r="H233" s="370"/>
      <c r="I233" s="370"/>
      <c r="J233" s="129" t="str">
        <f>IF(AND('Mapa final'!$AB$85="Muy Baja",'Mapa final'!$AD$85="Leve"),CONCATENATE("R28C",'Mapa final'!$R$85),"")</f>
        <v/>
      </c>
      <c r="K233" s="56" t="str">
        <f>IF(AND('Mapa final'!$AB$86="Muy Baja",'Mapa final'!$AD$86="Leve"),CONCATENATE("R28C",'Mapa final'!$R$86),"")</f>
        <v>R28C2</v>
      </c>
      <c r="L233" s="130" t="str">
        <f>IF(AND('Mapa final'!$AB$87="Muy Baja",'Mapa final'!$AD$87="Leve"),CONCATENATE("R28C",'Mapa final'!$R$87),"")</f>
        <v>R28C3</v>
      </c>
      <c r="M233" s="129" t="str">
        <f>IF(AND('Mapa final'!$AB$85="Muy Baja",'Mapa final'!$AD$85="Menor"),CONCATENATE("R28C",'Mapa final'!$R$85),"")</f>
        <v/>
      </c>
      <c r="N233" s="56" t="str">
        <f>IF(AND('Mapa final'!$AB$86="Muy Baja",'Mapa final'!$AD$86="Menor"),CONCATENATE("R28C",'Mapa final'!$R$86),"")</f>
        <v/>
      </c>
      <c r="O233" s="130" t="str">
        <f>IF(AND('Mapa final'!$AB$87="Muy Baja",'Mapa final'!$AD$87="Menor"),CONCATENATE("R28C",'Mapa final'!$R$87),"")</f>
        <v/>
      </c>
      <c r="P233" s="51" t="str">
        <f>IF(AND('Mapa final'!$AB$85="Muy Baja",'Mapa final'!$AD$85="Moderado"),CONCATENATE("R28C",'Mapa final'!$R$85),"")</f>
        <v/>
      </c>
      <c r="Q233" s="52" t="str">
        <f>IF(AND('Mapa final'!$AB$86="Muy Baja",'Mapa final'!$AD$86="Moderado"),CONCATENATE("R28C",'Mapa final'!$R$86),"")</f>
        <v/>
      </c>
      <c r="R233" s="125" t="str">
        <f>IF(AND('Mapa final'!$AB$87="Muy Baja",'Mapa final'!$AD$87="Moderado"),CONCATENATE("R28C",'Mapa final'!$R$87),"")</f>
        <v/>
      </c>
      <c r="S233" s="119" t="str">
        <f>IF(AND('Mapa final'!$AB$85="Muy Baja",'Mapa final'!$AD$85="Mayor"),CONCATENATE("R28C",'Mapa final'!$R$85),"")</f>
        <v/>
      </c>
      <c r="T233" s="44" t="str">
        <f>IF(AND('Mapa final'!$AB$86="Muy Baja",'Mapa final'!$AD$86="Mayor"),CONCATENATE("R28C",'Mapa final'!$R$86),"")</f>
        <v/>
      </c>
      <c r="U233" s="120" t="str">
        <f>IF(AND('Mapa final'!$AB$87="Muy Baja",'Mapa final'!$AD$87="Mayor"),CONCATENATE("R28C",'Mapa final'!$R$87),"")</f>
        <v/>
      </c>
      <c r="V233" s="45" t="str">
        <f>IF(AND('Mapa final'!$AB$85="Muy Baja",'Mapa final'!$AD$85="Catastrófico"),CONCATENATE("R28C",'Mapa final'!$R$85),"")</f>
        <v/>
      </c>
      <c r="W233" s="46" t="str">
        <f>IF(AND('Mapa final'!$AB$86="Muy Baja",'Mapa final'!$AD$86="Catastrófico"),CONCATENATE("R28C",'Mapa final'!$R$86),"")</f>
        <v/>
      </c>
      <c r="X233" s="114" t="str">
        <f>IF(AND('Mapa final'!$AB$87="Muy Baja",'Mapa final'!$AD$87="Catastrófico"),CONCATENATE("R28C",'Mapa final'!$R$87),"")</f>
        <v/>
      </c>
      <c r="Y233" s="58"/>
      <c r="Z233" s="58"/>
      <c r="AA233" s="58"/>
      <c r="AB233" s="58"/>
      <c r="AC233" s="58"/>
      <c r="AD233" s="58"/>
      <c r="AE233" s="58"/>
      <c r="AF233" s="58"/>
      <c r="AG233" s="58"/>
      <c r="AH233" s="58"/>
      <c r="AI233" s="58"/>
      <c r="AJ233" s="58"/>
      <c r="AK233" s="58"/>
      <c r="AL233" s="58"/>
      <c r="AM233" s="58"/>
      <c r="AN233" s="58"/>
      <c r="AO233" s="58"/>
      <c r="AP233" s="58"/>
      <c r="AQ233" s="58"/>
      <c r="AR233" s="58"/>
      <c r="AS233" s="58"/>
      <c r="AT233" s="58"/>
      <c r="AU233" s="58"/>
      <c r="AV233" s="58"/>
      <c r="AW233" s="58"/>
      <c r="AX233" s="58"/>
      <c r="AY233" s="58"/>
      <c r="AZ233" s="58"/>
      <c r="BA233" s="58"/>
      <c r="BB233" s="58"/>
      <c r="BC233" s="58"/>
      <c r="BD233" s="58"/>
      <c r="BE233" s="58"/>
      <c r="BF233" s="58"/>
      <c r="BG233" s="58"/>
      <c r="BH233" s="58"/>
      <c r="BI233" s="58"/>
      <c r="BJ233" s="58"/>
      <c r="BK233" s="58"/>
      <c r="BL233" s="58"/>
      <c r="BM233" s="58"/>
    </row>
    <row r="234" spans="1:65" ht="15" customHeight="1" x14ac:dyDescent="0.25">
      <c r="A234" s="58"/>
      <c r="B234" s="356"/>
      <c r="C234" s="356"/>
      <c r="D234" s="357"/>
      <c r="E234" s="371"/>
      <c r="F234" s="372"/>
      <c r="G234" s="372"/>
      <c r="H234" s="372"/>
      <c r="I234" s="370"/>
      <c r="J234" s="129" t="str">
        <f>IF(AND('Mapa final'!$AB$88="Muy Baja",'Mapa final'!$AD$88="Leve"),CONCATENATE("R29C",'Mapa final'!$R$88),"")</f>
        <v/>
      </c>
      <c r="K234" s="56" t="str">
        <f>IF(AND('Mapa final'!$AB$89="Muy Baja",'Mapa final'!$AD$89="Leve"),CONCATENATE("R29C",'Mapa final'!$R$89),"")</f>
        <v/>
      </c>
      <c r="L234" s="130" t="str">
        <f>IF(AND('Mapa final'!$AB$90="Muy Baja",'Mapa final'!$AD$90="Leve"),CONCATENATE("R30C",'Mapa final'!$R$90),"")</f>
        <v>R30C3</v>
      </c>
      <c r="M234" s="129" t="str">
        <f>IF(AND('Mapa final'!$AB$88="Muy Baja",'Mapa final'!$AD$88="Menor"),CONCATENATE("R29C",'Mapa final'!$R$88),"")</f>
        <v/>
      </c>
      <c r="N234" s="56" t="str">
        <f>IF(AND('Mapa final'!$AB$89="Muy Baja",'Mapa final'!$AD$89="Menor"),CONCATENATE("R29C",'Mapa final'!$R$89),"")</f>
        <v/>
      </c>
      <c r="O234" s="130" t="str">
        <f>IF(AND('Mapa final'!$AB$90="Muy Baja",'Mapa final'!$AD$90="Menor"),CONCATENATE("R30C",'Mapa final'!$R$90),"")</f>
        <v/>
      </c>
      <c r="P234" s="51" t="str">
        <f>IF(AND('Mapa final'!$AB$88="Muy Baja",'Mapa final'!$AD$88="Moderado"),CONCATENATE("R29C",'Mapa final'!$R$88),"")</f>
        <v/>
      </c>
      <c r="Q234" s="52" t="str">
        <f>IF(AND('Mapa final'!$AB$89="Muy Baja",'Mapa final'!$AD$89="Moderado"),CONCATENATE("R29C",'Mapa final'!$R$89),"")</f>
        <v/>
      </c>
      <c r="R234" s="125" t="str">
        <f>IF(AND('Mapa final'!$AB$90="Muy Baja",'Mapa final'!$AD$90="Moderado"),CONCATENATE("R30C",'Mapa final'!$R$90),"")</f>
        <v/>
      </c>
      <c r="S234" s="119" t="str">
        <f>IF(AND('Mapa final'!$AB$88="Muy Baja",'Mapa final'!$AD$88="Mayor"),CONCATENATE("R29C",'Mapa final'!$R$88),"")</f>
        <v/>
      </c>
      <c r="T234" s="44" t="str">
        <f>IF(AND('Mapa final'!$AB$89="Muy Baja",'Mapa final'!$AD$89="Mayor"),CONCATENATE("R29C",'Mapa final'!$R$89),"")</f>
        <v/>
      </c>
      <c r="U234" s="120" t="str">
        <f>IF(AND('Mapa final'!$AB$90="Muy Baja",'Mapa final'!$AD$90="Mayor"),CONCATENATE("R30C",'Mapa final'!$R$90),"")</f>
        <v/>
      </c>
      <c r="V234" s="45" t="str">
        <f>IF(AND('Mapa final'!$AB$88="Muy Baja",'Mapa final'!$AD$88="Catastrófico"),CONCATENATE("R29C",'Mapa final'!$R$88),"")</f>
        <v/>
      </c>
      <c r="W234" s="46" t="str">
        <f>IF(AND('Mapa final'!$AB$89="Muy Baja",'Mapa final'!$AD$89="Catastrófico"),CONCATENATE("R29C",'Mapa final'!$R$89),"")</f>
        <v/>
      </c>
      <c r="X234" s="114" t="str">
        <f>IF(AND('Mapa final'!$AB$90="Muy Baja",'Mapa final'!$AD$90="Catastrófico"),CONCATENATE("R30C",'Mapa final'!$R$90),"")</f>
        <v/>
      </c>
      <c r="Y234" s="58"/>
      <c r="Z234" s="58"/>
      <c r="AA234" s="58"/>
      <c r="AB234" s="58"/>
      <c r="AC234" s="58"/>
      <c r="AD234" s="58"/>
      <c r="AE234" s="58"/>
      <c r="AF234" s="58"/>
      <c r="AG234" s="58"/>
      <c r="AH234" s="58"/>
      <c r="AI234" s="58"/>
      <c r="AJ234" s="58"/>
      <c r="AK234" s="58"/>
      <c r="AL234" s="58"/>
      <c r="AM234" s="58"/>
      <c r="AN234" s="58"/>
      <c r="AO234" s="58"/>
      <c r="AP234" s="58"/>
      <c r="AQ234" s="58"/>
      <c r="AR234" s="58"/>
      <c r="AS234" s="58"/>
      <c r="AT234" s="58"/>
      <c r="AU234" s="58"/>
      <c r="AV234" s="58"/>
      <c r="AW234" s="58"/>
      <c r="AX234" s="58"/>
      <c r="AY234" s="58"/>
      <c r="AZ234" s="58"/>
      <c r="BA234" s="58"/>
      <c r="BB234" s="58"/>
      <c r="BC234" s="58"/>
      <c r="BD234" s="58"/>
      <c r="BE234" s="58"/>
      <c r="BF234" s="58"/>
      <c r="BG234" s="58"/>
      <c r="BH234" s="58"/>
      <c r="BI234" s="58"/>
      <c r="BJ234" s="58"/>
      <c r="BK234" s="58"/>
      <c r="BL234" s="58"/>
      <c r="BM234" s="58"/>
    </row>
    <row r="235" spans="1:65" ht="15" customHeight="1" x14ac:dyDescent="0.25">
      <c r="A235" s="58"/>
      <c r="B235" s="356"/>
      <c r="C235" s="356"/>
      <c r="D235" s="357"/>
      <c r="E235" s="371"/>
      <c r="F235" s="372"/>
      <c r="G235" s="372"/>
      <c r="H235" s="372"/>
      <c r="I235" s="370"/>
      <c r="J235" s="129" t="str">
        <f>IF(AND('Mapa final'!$AB$91="Muy Baja",'Mapa final'!$AD$91="Leve"),CONCATENATE("R30C",'Mapa final'!$R$91),"")</f>
        <v/>
      </c>
      <c r="K235" s="56" t="str">
        <f>IF(AND('Mapa final'!$AB$92="Muy Baja",'Mapa final'!$AD$92="Leve"),CONCATENATE("R30C",'Mapa final'!$R$92),"")</f>
        <v>R30C2</v>
      </c>
      <c r="L235" s="130" t="str">
        <f>IF(AND('Mapa final'!$AB$93="Muy Baja",'Mapa final'!$AD$93="Leve"),CONCATENATE("R31C",'Mapa final'!$R$93),"")</f>
        <v>R31C3</v>
      </c>
      <c r="M235" s="129" t="str">
        <f>IF(AND('Mapa final'!$AB$91="Muy Baja",'Mapa final'!$AD$91="Menor"),CONCATENATE("R30C",'Mapa final'!$R$91),"")</f>
        <v/>
      </c>
      <c r="N235" s="56" t="str">
        <f>IF(AND('Mapa final'!$AB$92="Muy Baja",'Mapa final'!$AD$92="Menor"),CONCATENATE("R30C",'Mapa final'!$R$92),"")</f>
        <v/>
      </c>
      <c r="O235" s="130" t="str">
        <f>IF(AND('Mapa final'!$AB$93="Muy Baja",'Mapa final'!$AD$93="Menor"),CONCATENATE("R31C",'Mapa final'!$R$93),"")</f>
        <v/>
      </c>
      <c r="P235" s="51" t="str">
        <f>IF(AND('Mapa final'!$AB$91="Muy Baja",'Mapa final'!$AD$91="Moderado"),CONCATENATE("R30C",'Mapa final'!$R$91),"")</f>
        <v/>
      </c>
      <c r="Q235" s="52" t="str">
        <f>IF(AND('Mapa final'!$AB$92="Muy Baja",'Mapa final'!$AD$92="Moderado"),CONCATENATE("R30C",'Mapa final'!$R$92),"")</f>
        <v/>
      </c>
      <c r="R235" s="125" t="str">
        <f>IF(AND('Mapa final'!$AB$93="Muy Baja",'Mapa final'!$AD$93="Moderado"),CONCATENATE("R31C",'Mapa final'!$R$93),"")</f>
        <v/>
      </c>
      <c r="S235" s="119" t="str">
        <f>IF(AND('Mapa final'!$AB$91="Muy Baja",'Mapa final'!$AD$91="Mayor"),CONCATENATE("R30C",'Mapa final'!$R$91),"")</f>
        <v/>
      </c>
      <c r="T235" s="44" t="str">
        <f>IF(AND('Mapa final'!$AB$92="Muy Baja",'Mapa final'!$AD$92="Mayor"),CONCATENATE("R30C",'Mapa final'!$R$92),"")</f>
        <v/>
      </c>
      <c r="U235" s="120" t="str">
        <f>IF(AND('Mapa final'!$AB$93="Muy Baja",'Mapa final'!$AD$93="Mayor"),CONCATENATE("R31C",'Mapa final'!$R$93),"")</f>
        <v/>
      </c>
      <c r="V235" s="45" t="str">
        <f>IF(AND('Mapa final'!$AB$91="Muy Baja",'Mapa final'!$AD$91="Catastrófico"),CONCATENATE("R30C",'Mapa final'!$R$91),"")</f>
        <v/>
      </c>
      <c r="W235" s="46" t="str">
        <f>IF(AND('Mapa final'!$AB$92="Muy Baja",'Mapa final'!$AD$92="Catastrófico"),CONCATENATE("R30C",'Mapa final'!$R$92),"")</f>
        <v/>
      </c>
      <c r="X235" s="114" t="str">
        <f>IF(AND('Mapa final'!$AB$93="Muy Baja",'Mapa final'!$AD$93="Catastrófico"),CONCATENATE("R31C",'Mapa final'!$R$93),"")</f>
        <v/>
      </c>
      <c r="Y235" s="58"/>
      <c r="Z235" s="58"/>
      <c r="AA235" s="58"/>
      <c r="AB235" s="58"/>
      <c r="AC235" s="58"/>
      <c r="AD235" s="58"/>
      <c r="AE235" s="58"/>
      <c r="AF235" s="58"/>
      <c r="AG235" s="58"/>
      <c r="AH235" s="58"/>
      <c r="AI235" s="58"/>
      <c r="AJ235" s="58"/>
      <c r="AK235" s="58"/>
      <c r="AL235" s="58"/>
      <c r="AM235" s="58"/>
      <c r="AN235" s="58"/>
      <c r="AO235" s="58"/>
      <c r="AP235" s="58"/>
      <c r="AQ235" s="58"/>
      <c r="AR235" s="58"/>
      <c r="AS235" s="58"/>
      <c r="AT235" s="58"/>
      <c r="AU235" s="58"/>
      <c r="AV235" s="58"/>
      <c r="AW235" s="58"/>
      <c r="AX235" s="58"/>
      <c r="AY235" s="58"/>
      <c r="AZ235" s="58"/>
      <c r="BA235" s="58"/>
      <c r="BB235" s="58"/>
      <c r="BC235" s="58"/>
      <c r="BD235" s="58"/>
      <c r="BE235" s="58"/>
      <c r="BF235" s="58"/>
      <c r="BG235" s="58"/>
      <c r="BH235" s="58"/>
      <c r="BI235" s="58"/>
      <c r="BJ235" s="58"/>
      <c r="BK235" s="58"/>
      <c r="BL235" s="58"/>
      <c r="BM235" s="58"/>
    </row>
    <row r="236" spans="1:65" ht="15" customHeight="1" x14ac:dyDescent="0.25">
      <c r="A236" s="58"/>
      <c r="B236" s="356"/>
      <c r="C236" s="356"/>
      <c r="D236" s="357"/>
      <c r="E236" s="371"/>
      <c r="F236" s="372"/>
      <c r="G236" s="372"/>
      <c r="H236" s="372"/>
      <c r="I236" s="370"/>
      <c r="J236" s="129" t="str">
        <f>IF(AND('Mapa final'!$AB$94="Muy Baja",'Mapa final'!$AD$94="Leve"),CONCATENATE("R31C",'Mapa final'!$R$94),"")</f>
        <v/>
      </c>
      <c r="K236" s="56" t="str">
        <f>IF(AND('Mapa final'!$AB$95="Muy Baja",'Mapa final'!$AD$95="Leve"),CONCATENATE("R31C",'Mapa final'!$R$95),"")</f>
        <v>R31C2</v>
      </c>
      <c r="L236" s="130" t="str">
        <f>IF(AND('Mapa final'!$AB$96="Muy Baja",'Mapa final'!$AD$96="Leve"),CONCATENATE("R32C",'Mapa final'!$R$96),"")</f>
        <v>R32C3</v>
      </c>
      <c r="M236" s="129" t="str">
        <f>IF(AND('Mapa final'!$AB$94="Muy Baja",'Mapa final'!$AD$94="Menor"),CONCATENATE("R31C",'Mapa final'!$R$94),"")</f>
        <v/>
      </c>
      <c r="N236" s="56" t="str">
        <f>IF(AND('Mapa final'!$AB$95="Muy Baja",'Mapa final'!$AD$95="Menor"),CONCATENATE("R31C",'Mapa final'!$R$95),"")</f>
        <v/>
      </c>
      <c r="O236" s="130" t="str">
        <f>IF(AND('Mapa final'!$AB$96="Muy Baja",'Mapa final'!$AD$96="Menor"),CONCATENATE("R32C",'Mapa final'!$R$96),"")</f>
        <v/>
      </c>
      <c r="P236" s="51" t="str">
        <f>IF(AND('Mapa final'!$AB$94="Muy Baja",'Mapa final'!$AD$94="Moderado"),CONCATENATE("R31C",'Mapa final'!$R$94),"")</f>
        <v/>
      </c>
      <c r="Q236" s="52" t="str">
        <f>IF(AND('Mapa final'!$AB$95="Muy Baja",'Mapa final'!$AD$95="Moderado"),CONCATENATE("R31C",'Mapa final'!$R$95),"")</f>
        <v/>
      </c>
      <c r="R236" s="125" t="str">
        <f>IF(AND('Mapa final'!$AB$96="Muy Baja",'Mapa final'!$AD$96="Moderado"),CONCATENATE("R32C",'Mapa final'!$R$96),"")</f>
        <v/>
      </c>
      <c r="S236" s="119" t="str">
        <f>IF(AND('Mapa final'!$AB$94="Muy Baja",'Mapa final'!$AD$94="Mayor"),CONCATENATE("R31C",'Mapa final'!$R$94),"")</f>
        <v/>
      </c>
      <c r="T236" s="44" t="str">
        <f>IF(AND('Mapa final'!$AB$95="Muy Baja",'Mapa final'!$AD$95="Mayor"),CONCATENATE("R31C",'Mapa final'!$R$95),"")</f>
        <v/>
      </c>
      <c r="U236" s="120" t="str">
        <f>IF(AND('Mapa final'!$AB$96="Muy Baja",'Mapa final'!$AD$96="Mayor"),CONCATENATE("R32C",'Mapa final'!$R$96),"")</f>
        <v/>
      </c>
      <c r="V236" s="45" t="str">
        <f>IF(AND('Mapa final'!$AB$94="Muy Baja",'Mapa final'!$AD$94="Catastrófico"),CONCATENATE("R31C",'Mapa final'!$R$94),"")</f>
        <v/>
      </c>
      <c r="W236" s="46" t="str">
        <f>IF(AND('Mapa final'!$AB$95="Muy Baja",'Mapa final'!$AD$95="Catastrófico"),CONCATENATE("R31C",'Mapa final'!$R$95),"")</f>
        <v/>
      </c>
      <c r="X236" s="114" t="str">
        <f>IF(AND('Mapa final'!$AB$96="Muy Baja",'Mapa final'!$AD$96="Catastrófico"),CONCATENATE("R32C",'Mapa final'!$R$96),"")</f>
        <v/>
      </c>
      <c r="Y236" s="58"/>
      <c r="Z236" s="58"/>
      <c r="AA236" s="58"/>
      <c r="AB236" s="58"/>
      <c r="AC236" s="58"/>
      <c r="AD236" s="58"/>
      <c r="AE236" s="58"/>
      <c r="AF236" s="58"/>
      <c r="AG236" s="58"/>
      <c r="AH236" s="58"/>
      <c r="AI236" s="58"/>
      <c r="AJ236" s="58"/>
      <c r="AK236" s="58"/>
      <c r="AL236" s="58"/>
      <c r="AM236" s="58"/>
      <c r="AN236" s="58"/>
      <c r="AO236" s="58"/>
      <c r="AP236" s="58"/>
      <c r="AQ236" s="58"/>
      <c r="AR236" s="58"/>
      <c r="AS236" s="58"/>
      <c r="AT236" s="58"/>
      <c r="AU236" s="58"/>
      <c r="AV236" s="58"/>
      <c r="AW236" s="58"/>
      <c r="AX236" s="58"/>
      <c r="AY236" s="58"/>
      <c r="AZ236" s="58"/>
      <c r="BA236" s="58"/>
      <c r="BB236" s="58"/>
      <c r="BC236" s="58"/>
      <c r="BD236" s="58"/>
      <c r="BE236" s="58"/>
      <c r="BF236" s="58"/>
      <c r="BG236" s="58"/>
      <c r="BH236" s="58"/>
      <c r="BI236" s="58"/>
      <c r="BJ236" s="58"/>
      <c r="BK236" s="58"/>
      <c r="BL236" s="58"/>
      <c r="BM236" s="58"/>
    </row>
    <row r="237" spans="1:65" ht="15" customHeight="1" x14ac:dyDescent="0.25">
      <c r="A237" s="58"/>
      <c r="B237" s="356"/>
      <c r="C237" s="356"/>
      <c r="D237" s="357"/>
      <c r="E237" s="371"/>
      <c r="F237" s="372"/>
      <c r="G237" s="372"/>
      <c r="H237" s="372"/>
      <c r="I237" s="370"/>
      <c r="J237" s="129" t="str">
        <f>IF(AND('Mapa final'!$AB$97="Muy Baja",'Mapa final'!$AD$97="Leve"),CONCATENATE("R32C",'Mapa final'!$R$97),"")</f>
        <v/>
      </c>
      <c r="K237" s="56" t="str">
        <f>IF(AND('Mapa final'!$AB$98="Muy Baja",'Mapa final'!$AD$98="Leve"),CONCATENATE("R32C",'Mapa final'!$R$98),"")</f>
        <v>R32C2</v>
      </c>
      <c r="L237" s="130" t="str">
        <f>IF(AND('Mapa final'!$AB$99="Muy Baja",'Mapa final'!$AD$99="Leve"),CONCATENATE("R33C",'Mapa final'!$R$99),"")</f>
        <v>R33C3</v>
      </c>
      <c r="M237" s="129" t="str">
        <f>IF(AND('Mapa final'!$AB$97="Muy Baja",'Mapa final'!$AD$97="Menor"),CONCATENATE("R32C",'Mapa final'!$R$97),"")</f>
        <v/>
      </c>
      <c r="N237" s="56" t="str">
        <f>IF(AND('Mapa final'!$AB$98="Muy Baja",'Mapa final'!$AD$98="Menor"),CONCATENATE("R32C",'Mapa final'!$R$98),"")</f>
        <v/>
      </c>
      <c r="O237" s="130" t="str">
        <f>IF(AND('Mapa final'!$AB$99="Muy Baja",'Mapa final'!$AD$99="Menor"),CONCATENATE("R33C",'Mapa final'!$R$99),"")</f>
        <v/>
      </c>
      <c r="P237" s="51" t="str">
        <f>IF(AND('Mapa final'!$AB$97="Muy Baja",'Mapa final'!$AD$97="Moderado"),CONCATENATE("R32C",'Mapa final'!$R$97),"")</f>
        <v/>
      </c>
      <c r="Q237" s="52" t="str">
        <f>IF(AND('Mapa final'!$AB$98="Muy Baja",'Mapa final'!$AD$98="Moderado"),CONCATENATE("R32C",'Mapa final'!$R$98),"")</f>
        <v/>
      </c>
      <c r="R237" s="125" t="str">
        <f>IF(AND('Mapa final'!$AB$99="Muy Baja",'Mapa final'!$AD$99="Moderado"),CONCATENATE("R33C",'Mapa final'!$R$99),"")</f>
        <v/>
      </c>
      <c r="S237" s="119" t="str">
        <f>IF(AND('Mapa final'!$AB$97="Muy Baja",'Mapa final'!$AD$97="Mayor"),CONCATENATE("R32C",'Mapa final'!$R$97),"")</f>
        <v/>
      </c>
      <c r="T237" s="44" t="str">
        <f>IF(AND('Mapa final'!$AB$98="Muy Baja",'Mapa final'!$AD$98="Mayor"),CONCATENATE("R32C",'Mapa final'!$R$98),"")</f>
        <v/>
      </c>
      <c r="U237" s="120" t="str">
        <f>IF(AND('Mapa final'!$AB$99="Muy Baja",'Mapa final'!$AD$99="Mayor"),CONCATENATE("R33C",'Mapa final'!$R$99),"")</f>
        <v/>
      </c>
      <c r="V237" s="45" t="str">
        <f>IF(AND('Mapa final'!$AB$97="Muy Baja",'Mapa final'!$AD$97="Catastrófico"),CONCATENATE("R32C",'Mapa final'!$R$97),"")</f>
        <v/>
      </c>
      <c r="W237" s="46" t="str">
        <f>IF(AND('Mapa final'!$AB$98="Muy Baja",'Mapa final'!$AD$98="Catastrófico"),CONCATENATE("R32C",'Mapa final'!$R$98),"")</f>
        <v/>
      </c>
      <c r="X237" s="114" t="str">
        <f>IF(AND('Mapa final'!$AB$99="Muy Baja",'Mapa final'!$AD$99="Catastrófico"),CONCATENATE("R33C",'Mapa final'!$R$99),"")</f>
        <v/>
      </c>
      <c r="Y237" s="58"/>
      <c r="Z237" s="58"/>
      <c r="AA237" s="58"/>
      <c r="AB237" s="58"/>
      <c r="AC237" s="58"/>
      <c r="AD237" s="58"/>
      <c r="AE237" s="58"/>
      <c r="AF237" s="58"/>
      <c r="AG237" s="58"/>
      <c r="AH237" s="58"/>
      <c r="AI237" s="58"/>
      <c r="AJ237" s="58"/>
      <c r="AK237" s="58"/>
      <c r="AL237" s="58"/>
      <c r="AM237" s="58"/>
      <c r="AN237" s="58"/>
      <c r="AO237" s="58"/>
      <c r="AP237" s="58"/>
      <c r="AQ237" s="58"/>
      <c r="AR237" s="58"/>
      <c r="AS237" s="58"/>
      <c r="AT237" s="58"/>
      <c r="AU237" s="58"/>
      <c r="AV237" s="58"/>
      <c r="AW237" s="58"/>
      <c r="AX237" s="58"/>
      <c r="AY237" s="58"/>
      <c r="AZ237" s="58"/>
      <c r="BA237" s="58"/>
      <c r="BB237" s="58"/>
      <c r="BC237" s="58"/>
      <c r="BD237" s="58"/>
      <c r="BE237" s="58"/>
      <c r="BF237" s="58"/>
      <c r="BG237" s="58"/>
      <c r="BH237" s="58"/>
      <c r="BI237" s="58"/>
      <c r="BJ237" s="58"/>
      <c r="BK237" s="58"/>
      <c r="BL237" s="58"/>
      <c r="BM237" s="58"/>
    </row>
    <row r="238" spans="1:65" ht="15" customHeight="1" x14ac:dyDescent="0.25">
      <c r="A238" s="58"/>
      <c r="B238" s="356"/>
      <c r="C238" s="356"/>
      <c r="D238" s="357"/>
      <c r="E238" s="371"/>
      <c r="F238" s="372"/>
      <c r="G238" s="372"/>
      <c r="H238" s="372"/>
      <c r="I238" s="370"/>
      <c r="J238" s="129" t="str">
        <f>IF(AND('Mapa final'!$AB$100="Muy Baja",'Mapa final'!$AD$100="Leve"),CONCATENATE("R33C",'Mapa final'!$R$100),"")</f>
        <v/>
      </c>
      <c r="K238" s="56" t="str">
        <f>IF(AND('Mapa final'!$AB$101="Muy Baja",'Mapa final'!$AD$101="Leve"),CONCATENATE("R33C",'Mapa final'!$R$101),"")</f>
        <v>R33C2</v>
      </c>
      <c r="L238" s="130" t="str">
        <f>IF(AND('Mapa final'!$AB$102="Muy Baja",'Mapa final'!$AD$102="Leve"),CONCATENATE("R34C",'Mapa final'!$R$102),"")</f>
        <v>R34C3</v>
      </c>
      <c r="M238" s="129" t="str">
        <f>IF(AND('Mapa final'!$AB$100="Muy Baja",'Mapa final'!$AD$100="Menor"),CONCATENATE("R33C",'Mapa final'!$R$100),"")</f>
        <v/>
      </c>
      <c r="N238" s="56" t="str">
        <f>IF(AND('Mapa final'!$AB$101="Muy Baja",'Mapa final'!$AD$101="Menor"),CONCATENATE("R33C",'Mapa final'!$R$101),"")</f>
        <v/>
      </c>
      <c r="O238" s="130" t="str">
        <f>IF(AND('Mapa final'!$AB$102="Muy Baja",'Mapa final'!$AD$102="Menor"),CONCATENATE("R34C",'Mapa final'!$R$102),"")</f>
        <v/>
      </c>
      <c r="P238" s="51" t="str">
        <f>IF(AND('Mapa final'!$AB$100="Muy Baja",'Mapa final'!$AD$100="Moderado"),CONCATENATE("R33C",'Mapa final'!$R$100),"")</f>
        <v/>
      </c>
      <c r="Q238" s="52" t="str">
        <f>IF(AND('Mapa final'!$AB$101="Muy Baja",'Mapa final'!$AD$101="Moderado"),CONCATENATE("R33C",'Mapa final'!$R$101),"")</f>
        <v/>
      </c>
      <c r="R238" s="125" t="str">
        <f>IF(AND('Mapa final'!$AB$102="Muy Baja",'Mapa final'!$AD$102="Moderado"),CONCATENATE("R34C",'Mapa final'!$R$102),"")</f>
        <v/>
      </c>
      <c r="S238" s="119" t="str">
        <f>IF(AND('Mapa final'!$AB$100="Muy Baja",'Mapa final'!$AD$100="Mayor"),CONCATENATE("R33C",'Mapa final'!$R$100),"")</f>
        <v/>
      </c>
      <c r="T238" s="44" t="str">
        <f>IF(AND('Mapa final'!$AB$101="Muy Baja",'Mapa final'!$AD$101="Mayor"),CONCATENATE("R33C",'Mapa final'!$R$101),"")</f>
        <v/>
      </c>
      <c r="U238" s="120" t="str">
        <f>IF(AND('Mapa final'!$AB$102="Muy Baja",'Mapa final'!$AD$102="Mayor"),CONCATENATE("R34C",'Mapa final'!$R$102),"")</f>
        <v/>
      </c>
      <c r="V238" s="45" t="str">
        <f>IF(AND('Mapa final'!$AB$100="Muy Baja",'Mapa final'!$AD$100="Catastrófico"),CONCATENATE("R33C",'Mapa final'!$R$100),"")</f>
        <v/>
      </c>
      <c r="W238" s="46" t="str">
        <f>IF(AND('Mapa final'!$AB$101="Muy Baja",'Mapa final'!$AD$101="Catastrófico"),CONCATENATE("R33C",'Mapa final'!$R$101),"")</f>
        <v/>
      </c>
      <c r="X238" s="114" t="str">
        <f>IF(AND('Mapa final'!$AB$102="Muy Baja",'Mapa final'!$AD$102="Catastrófico"),CONCATENATE("R34C",'Mapa final'!$R$102),"")</f>
        <v/>
      </c>
      <c r="Y238" s="58"/>
      <c r="Z238" s="58"/>
      <c r="AA238" s="58"/>
      <c r="AB238" s="58"/>
      <c r="AC238" s="58"/>
      <c r="AD238" s="58"/>
      <c r="AE238" s="58"/>
      <c r="AF238" s="58"/>
      <c r="AG238" s="58"/>
      <c r="AH238" s="58"/>
      <c r="AI238" s="58"/>
      <c r="AJ238" s="58"/>
      <c r="AK238" s="58"/>
      <c r="AL238" s="58"/>
      <c r="AM238" s="58"/>
      <c r="AN238" s="58"/>
      <c r="AO238" s="58"/>
      <c r="AP238" s="58"/>
      <c r="AQ238" s="58"/>
      <c r="AR238" s="58"/>
      <c r="AS238" s="58"/>
      <c r="AT238" s="58"/>
      <c r="AU238" s="58"/>
      <c r="AV238" s="58"/>
      <c r="AW238" s="58"/>
      <c r="AX238" s="58"/>
      <c r="AY238" s="58"/>
      <c r="AZ238" s="58"/>
      <c r="BA238" s="58"/>
      <c r="BB238" s="58"/>
      <c r="BC238" s="58"/>
      <c r="BD238" s="58"/>
      <c r="BE238" s="58"/>
      <c r="BF238" s="58"/>
      <c r="BG238" s="58"/>
      <c r="BH238" s="58"/>
      <c r="BI238" s="58"/>
      <c r="BJ238" s="58"/>
      <c r="BK238" s="58"/>
      <c r="BL238" s="58"/>
      <c r="BM238" s="58"/>
    </row>
    <row r="239" spans="1:65" ht="15" customHeight="1" x14ac:dyDescent="0.25">
      <c r="A239" s="58"/>
      <c r="B239" s="356"/>
      <c r="C239" s="356"/>
      <c r="D239" s="357"/>
      <c r="E239" s="371"/>
      <c r="F239" s="372"/>
      <c r="G239" s="372"/>
      <c r="H239" s="372"/>
      <c r="I239" s="370"/>
      <c r="J239" s="129" t="str">
        <f>IF(AND('Mapa final'!$AB$103="Muy Baja",'Mapa final'!$AD$103="Leve"),CONCATENATE("R34C",'Mapa final'!$R$103),"")</f>
        <v/>
      </c>
      <c r="K239" s="56" t="str">
        <f>IF(AND('Mapa final'!$AB$104="Muy Baja",'Mapa final'!$AD$104="Leve"),CONCATENATE("R34C",'Mapa final'!$R$104),"")</f>
        <v>R34C2</v>
      </c>
      <c r="L239" s="130" t="str">
        <f>IF(AND('Mapa final'!$AB$105="Muy Baja",'Mapa final'!$AD$105="Leve"),CONCATENATE("R35C",'Mapa final'!$R$105),"")</f>
        <v>R35C3</v>
      </c>
      <c r="M239" s="129" t="str">
        <f>IF(AND('Mapa final'!$AB$103="Muy Baja",'Mapa final'!$AD$103="Menor"),CONCATENATE("R34C",'Mapa final'!$R$103),"")</f>
        <v/>
      </c>
      <c r="N239" s="56" t="str">
        <f>IF(AND('Mapa final'!$AB$104="Muy Baja",'Mapa final'!$AD$104="Menor"),CONCATENATE("R34C",'Mapa final'!$R$104),"")</f>
        <v/>
      </c>
      <c r="O239" s="130" t="str">
        <f>IF(AND('Mapa final'!$AB$105="Muy Baja",'Mapa final'!$AD$105="Menor"),CONCATENATE("R35C",'Mapa final'!$R$105),"")</f>
        <v/>
      </c>
      <c r="P239" s="51" t="str">
        <f>IF(AND('Mapa final'!$AB$103="Muy Baja",'Mapa final'!$AD$103="Moderado"),CONCATENATE("R34C",'Mapa final'!$R$103),"")</f>
        <v/>
      </c>
      <c r="Q239" s="52" t="str">
        <f>IF(AND('Mapa final'!$AB$104="Muy Baja",'Mapa final'!$AD$104="Moderado"),CONCATENATE("R34C",'Mapa final'!$R$104),"")</f>
        <v/>
      </c>
      <c r="R239" s="125" t="str">
        <f>IF(AND('Mapa final'!$AB$105="Muy Baja",'Mapa final'!$AD$105="Moderado"),CONCATENATE("R35C",'Mapa final'!$R$105),"")</f>
        <v/>
      </c>
      <c r="S239" s="119" t="str">
        <f>IF(AND('Mapa final'!$AB$103="Muy Baja",'Mapa final'!$AD$103="Mayor"),CONCATENATE("R34C",'Mapa final'!$R$103),"")</f>
        <v/>
      </c>
      <c r="T239" s="44" t="str">
        <f>IF(AND('Mapa final'!$AB$104="Muy Baja",'Mapa final'!$AD$104="Mayor"),CONCATENATE("R34C",'Mapa final'!$R$104),"")</f>
        <v/>
      </c>
      <c r="U239" s="120" t="str">
        <f>IF(AND('Mapa final'!$AB$105="Muy Baja",'Mapa final'!$AD$105="Mayor"),CONCATENATE("R35C",'Mapa final'!$R$105),"")</f>
        <v/>
      </c>
      <c r="V239" s="45" t="str">
        <f>IF(AND('Mapa final'!$AB$103="Muy Baja",'Mapa final'!$AD$103="Catastrófico"),CONCATENATE("R34C",'Mapa final'!$R$103),"")</f>
        <v/>
      </c>
      <c r="W239" s="46" t="str">
        <f>IF(AND('Mapa final'!$AB$104="Muy Baja",'Mapa final'!$AD$104="Catastrófico"),CONCATENATE("R34C",'Mapa final'!$R$104),"")</f>
        <v/>
      </c>
      <c r="X239" s="114" t="str">
        <f>IF(AND('Mapa final'!$AB$105="Muy Baja",'Mapa final'!$AD$105="Catastrófico"),CONCATENATE("R35C",'Mapa final'!$R$105),"")</f>
        <v/>
      </c>
      <c r="Y239" s="58"/>
      <c r="Z239" s="58"/>
      <c r="AA239" s="58"/>
      <c r="AB239" s="58"/>
      <c r="AC239" s="58"/>
      <c r="AD239" s="58"/>
      <c r="AE239" s="58"/>
      <c r="AF239" s="58"/>
      <c r="AG239" s="58"/>
      <c r="AH239" s="58"/>
      <c r="AI239" s="58"/>
      <c r="AJ239" s="58"/>
      <c r="AK239" s="58"/>
      <c r="AL239" s="58"/>
      <c r="AM239" s="58"/>
      <c r="AN239" s="58"/>
      <c r="AO239" s="58"/>
      <c r="AP239" s="58"/>
      <c r="AQ239" s="58"/>
      <c r="AR239" s="58"/>
      <c r="AS239" s="58"/>
      <c r="AT239" s="58"/>
      <c r="AU239" s="58"/>
      <c r="AV239" s="58"/>
      <c r="AW239" s="58"/>
      <c r="AX239" s="58"/>
      <c r="AY239" s="58"/>
      <c r="AZ239" s="58"/>
      <c r="BA239" s="58"/>
      <c r="BB239" s="58"/>
      <c r="BC239" s="58"/>
      <c r="BD239" s="58"/>
      <c r="BE239" s="58"/>
      <c r="BF239" s="58"/>
      <c r="BG239" s="58"/>
      <c r="BH239" s="58"/>
      <c r="BI239" s="58"/>
      <c r="BJ239" s="58"/>
      <c r="BK239" s="58"/>
      <c r="BL239" s="58"/>
      <c r="BM239" s="58"/>
    </row>
    <row r="240" spans="1:65" ht="15" customHeight="1" x14ac:dyDescent="0.25">
      <c r="A240" s="58"/>
      <c r="B240" s="356"/>
      <c r="C240" s="356"/>
      <c r="D240" s="357"/>
      <c r="E240" s="371"/>
      <c r="F240" s="372"/>
      <c r="G240" s="372"/>
      <c r="H240" s="372"/>
      <c r="I240" s="370"/>
      <c r="J240" s="129" t="str">
        <f>IF(AND('Mapa final'!$AB$106="Muy Baja",'Mapa final'!$AD$106="Leve"),CONCATENATE("R35C",'Mapa final'!$R$106),"")</f>
        <v/>
      </c>
      <c r="K240" s="56" t="str">
        <f>IF(AND('Mapa final'!$AB$107="Muy Baja",'Mapa final'!$AD$107="Leve"),CONCATENATE("R35C",'Mapa final'!$R$107),"")</f>
        <v>R35C2</v>
      </c>
      <c r="L240" s="130" t="str">
        <f>IF(AND('Mapa final'!$AB$108="Muy Baja",'Mapa final'!$AD$108="Leve"),CONCATENATE("R36C",'Mapa final'!$R$108),"")</f>
        <v>R36C3</v>
      </c>
      <c r="M240" s="129" t="str">
        <f>IF(AND('Mapa final'!$AB$106="Muy Baja",'Mapa final'!$AD$106="Menor"),CONCATENATE("R35C",'Mapa final'!$R$106),"")</f>
        <v/>
      </c>
      <c r="N240" s="56" t="str">
        <f>IF(AND('Mapa final'!$AB$107="Muy Baja",'Mapa final'!$AD$107="Menor"),CONCATENATE("R35C",'Mapa final'!$R$107),"")</f>
        <v/>
      </c>
      <c r="O240" s="130" t="str">
        <f>IF(AND('Mapa final'!$AB$108="Muy Baja",'Mapa final'!$AD$108="Menor"),CONCATENATE("R36C",'Mapa final'!$R$108),"")</f>
        <v/>
      </c>
      <c r="P240" s="51" t="str">
        <f>IF(AND('Mapa final'!$AB$106="Muy Baja",'Mapa final'!$AD$106="Moderado"),CONCATENATE("R35C",'Mapa final'!$R$106),"")</f>
        <v/>
      </c>
      <c r="Q240" s="52" t="str">
        <f>IF(AND('Mapa final'!$AB$107="Muy Baja",'Mapa final'!$AD$107="Moderado"),CONCATENATE("R35C",'Mapa final'!$R$107),"")</f>
        <v/>
      </c>
      <c r="R240" s="125" t="str">
        <f>IF(AND('Mapa final'!$AB$108="Muy Baja",'Mapa final'!$AD$108="Moderado"),CONCATENATE("R36C",'Mapa final'!$R$108),"")</f>
        <v/>
      </c>
      <c r="S240" s="119" t="str">
        <f>IF(AND('Mapa final'!$AB$106="Muy Baja",'Mapa final'!$AD$106="Mayor"),CONCATENATE("R35C",'Mapa final'!$R$106),"")</f>
        <v/>
      </c>
      <c r="T240" s="44" t="str">
        <f>IF(AND('Mapa final'!$AB$107="Muy Baja",'Mapa final'!$AD$107="Mayor"),CONCATENATE("R35C",'Mapa final'!$R$107),"")</f>
        <v/>
      </c>
      <c r="U240" s="120" t="str">
        <f>IF(AND('Mapa final'!$AB$108="Muy Baja",'Mapa final'!$AD$108="Mayor"),CONCATENATE("R36C",'Mapa final'!$R$108),"")</f>
        <v/>
      </c>
      <c r="V240" s="45" t="str">
        <f>IF(AND('Mapa final'!$AB$106="Muy Baja",'Mapa final'!$AD$106="Catastrófico"),CONCATENATE("R35C",'Mapa final'!$R$106),"")</f>
        <v/>
      </c>
      <c r="W240" s="46" t="str">
        <f>IF(AND('Mapa final'!$AB$107="Muy Baja",'Mapa final'!$AD$107="Catastrófico"),CONCATENATE("R35C",'Mapa final'!$R$107),"")</f>
        <v/>
      </c>
      <c r="X240" s="114" t="str">
        <f>IF(AND('Mapa final'!$AB$108="Muy Baja",'Mapa final'!$AD$108="Catastrófico"),CONCATENATE("R36C",'Mapa final'!$R$108),"")</f>
        <v/>
      </c>
      <c r="Y240" s="58"/>
      <c r="Z240" s="58"/>
      <c r="AA240" s="58"/>
      <c r="AB240" s="58"/>
      <c r="AC240" s="58"/>
      <c r="AD240" s="58"/>
      <c r="AE240" s="58"/>
      <c r="AF240" s="58"/>
      <c r="AG240" s="58"/>
      <c r="AH240" s="58"/>
      <c r="AI240" s="58"/>
      <c r="AJ240" s="58"/>
      <c r="AK240" s="58"/>
      <c r="AL240" s="58"/>
      <c r="AM240" s="58"/>
      <c r="AN240" s="58"/>
      <c r="AO240" s="58"/>
      <c r="AP240" s="58"/>
      <c r="AQ240" s="58"/>
      <c r="AR240" s="58"/>
      <c r="AS240" s="58"/>
      <c r="AT240" s="58"/>
      <c r="AU240" s="58"/>
      <c r="AV240" s="58"/>
      <c r="AW240" s="58"/>
      <c r="AX240" s="58"/>
      <c r="AY240" s="58"/>
      <c r="AZ240" s="58"/>
      <c r="BA240" s="58"/>
      <c r="BB240" s="58"/>
      <c r="BC240" s="58"/>
      <c r="BD240" s="58"/>
      <c r="BE240" s="58"/>
      <c r="BF240" s="58"/>
      <c r="BG240" s="58"/>
      <c r="BH240" s="58"/>
      <c r="BI240" s="58"/>
      <c r="BJ240" s="58"/>
      <c r="BK240" s="58"/>
      <c r="BL240" s="58"/>
      <c r="BM240" s="58"/>
    </row>
    <row r="241" spans="1:65" ht="15" customHeight="1" x14ac:dyDescent="0.25">
      <c r="A241" s="58"/>
      <c r="B241" s="356"/>
      <c r="C241" s="356"/>
      <c r="D241" s="357"/>
      <c r="E241" s="371"/>
      <c r="F241" s="372"/>
      <c r="G241" s="372"/>
      <c r="H241" s="372"/>
      <c r="I241" s="370"/>
      <c r="J241" s="129" t="str">
        <f>IF(AND('Mapa final'!$AB$109="Muy Baja",'Mapa final'!$AD$109="Leve"),CONCATENATE("R36C",'Mapa final'!$R$109),"")</f>
        <v/>
      </c>
      <c r="K241" s="56" t="str">
        <f>IF(AND('Mapa final'!$AB$110="Muy Baja",'Mapa final'!$AD$110="Leve"),CONCATENATE("R36C",'Mapa final'!$R$110),"")</f>
        <v>R36C2</v>
      </c>
      <c r="L241" s="130" t="str">
        <f>IF(AND('Mapa final'!$AB$111="Muy Baja",'Mapa final'!$AD$111="Leve"),CONCATENATE("R37C",'Mapa final'!$R$111),"")</f>
        <v>R37C3</v>
      </c>
      <c r="M241" s="129" t="str">
        <f>IF(AND('Mapa final'!$AB$109="Muy Baja",'Mapa final'!$AD$109="Menor"),CONCATENATE("R36C",'Mapa final'!$R$109),"")</f>
        <v/>
      </c>
      <c r="N241" s="56" t="str">
        <f>IF(AND('Mapa final'!$AB$110="Muy Baja",'Mapa final'!$AD$110="Menor"),CONCATENATE("R36C",'Mapa final'!$R$110),"")</f>
        <v/>
      </c>
      <c r="O241" s="130" t="str">
        <f>IF(AND('Mapa final'!$AB$111="Muy Baja",'Mapa final'!$AD$111="Menor"),CONCATENATE("R37C",'Mapa final'!$R$111),"")</f>
        <v/>
      </c>
      <c r="P241" s="51" t="str">
        <f>IF(AND('Mapa final'!$AB$109="Muy Baja",'Mapa final'!$AD$109="Moderado"),CONCATENATE("R36C",'Mapa final'!$R$109),"")</f>
        <v/>
      </c>
      <c r="Q241" s="52" t="str">
        <f>IF(AND('Mapa final'!$AB$110="Muy Baja",'Mapa final'!$AD$110="Moderado"),CONCATENATE("R36C",'Mapa final'!$R$110),"")</f>
        <v/>
      </c>
      <c r="R241" s="125" t="str">
        <f>IF(AND('Mapa final'!$AB$111="Muy Baja",'Mapa final'!$AD$111="Moderado"),CONCATENATE("R37C",'Mapa final'!$R$111),"")</f>
        <v/>
      </c>
      <c r="S241" s="119" t="str">
        <f>IF(AND('Mapa final'!$AB$109="Muy Baja",'Mapa final'!$AD$109="Mayor"),CONCATENATE("R36C",'Mapa final'!$R$109),"")</f>
        <v/>
      </c>
      <c r="T241" s="44" t="str">
        <f>IF(AND('Mapa final'!$AB$110="Muy Baja",'Mapa final'!$AD$110="Mayor"),CONCATENATE("R36C",'Mapa final'!$R$110),"")</f>
        <v/>
      </c>
      <c r="U241" s="120" t="str">
        <f>IF(AND('Mapa final'!$AB$111="Muy Baja",'Mapa final'!$AD$111="Mayor"),CONCATENATE("R37C",'Mapa final'!$R$111),"")</f>
        <v/>
      </c>
      <c r="V241" s="45" t="str">
        <f>IF(AND('Mapa final'!$AB$109="Muy Baja",'Mapa final'!$AD$109="Catastrófico"),CONCATENATE("R36C",'Mapa final'!$R$109),"")</f>
        <v/>
      </c>
      <c r="W241" s="46" t="str">
        <f>IF(AND('Mapa final'!$AB$110="Muy Baja",'Mapa final'!$AD$110="Catastrófico"),CONCATENATE("R36C",'Mapa final'!$R$110),"")</f>
        <v/>
      </c>
      <c r="X241" s="114" t="str">
        <f>IF(AND('Mapa final'!$AB$111="Muy Baja",'Mapa final'!$AD$111="Catastrófico"),CONCATENATE("R37C",'Mapa final'!$R$111),"")</f>
        <v/>
      </c>
      <c r="Y241" s="58"/>
      <c r="Z241" s="58"/>
      <c r="AA241" s="58"/>
      <c r="AB241" s="58"/>
      <c r="AC241" s="58"/>
      <c r="AD241" s="58"/>
      <c r="AE241" s="58"/>
      <c r="AF241" s="58"/>
      <c r="AG241" s="58"/>
      <c r="AH241" s="58"/>
      <c r="AI241" s="58"/>
      <c r="AJ241" s="58"/>
      <c r="AK241" s="58"/>
      <c r="AL241" s="58"/>
      <c r="AM241" s="58"/>
      <c r="AN241" s="58"/>
      <c r="AO241" s="58"/>
      <c r="AP241" s="58"/>
      <c r="AQ241" s="58"/>
      <c r="AR241" s="58"/>
      <c r="AS241" s="58"/>
      <c r="AT241" s="58"/>
      <c r="AU241" s="58"/>
      <c r="AV241" s="58"/>
      <c r="AW241" s="58"/>
      <c r="AX241" s="58"/>
      <c r="AY241" s="58"/>
      <c r="AZ241" s="58"/>
      <c r="BA241" s="58"/>
      <c r="BB241" s="58"/>
      <c r="BC241" s="58"/>
      <c r="BD241" s="58"/>
      <c r="BE241" s="58"/>
      <c r="BF241" s="58"/>
      <c r="BG241" s="58"/>
      <c r="BH241" s="58"/>
      <c r="BI241" s="58"/>
      <c r="BJ241" s="58"/>
      <c r="BK241" s="58"/>
      <c r="BL241" s="58"/>
      <c r="BM241" s="58"/>
    </row>
    <row r="242" spans="1:65" ht="15" customHeight="1" x14ac:dyDescent="0.25">
      <c r="A242" s="58"/>
      <c r="B242" s="356"/>
      <c r="C242" s="356"/>
      <c r="D242" s="357"/>
      <c r="E242" s="371"/>
      <c r="F242" s="372"/>
      <c r="G242" s="372"/>
      <c r="H242" s="372"/>
      <c r="I242" s="370"/>
      <c r="J242" s="129" t="str">
        <f>IF(AND('Mapa final'!$AB$112="Muy Baja",'Mapa final'!$AD$112="Leve"),CONCATENATE("R37C",'Mapa final'!$R$112),"")</f>
        <v/>
      </c>
      <c r="K242" s="56" t="str">
        <f>IF(AND('Mapa final'!$AB$113="Muy Baja",'Mapa final'!$AD$113="Leve"),CONCATENATE("R37C",'Mapa final'!$R$113),"")</f>
        <v>R37C2</v>
      </c>
      <c r="L242" s="130" t="str">
        <f>IF(AND('Mapa final'!$AB$114="Muy Baja",'Mapa final'!$AD$114="Leve"),CONCATENATE("R38C",'Mapa final'!$R$114),"")</f>
        <v>R38C3</v>
      </c>
      <c r="M242" s="129" t="str">
        <f>IF(AND('Mapa final'!$AB$112="Muy Baja",'Mapa final'!$AD$112="Menor"),CONCATENATE("R37C",'Mapa final'!$R$112),"")</f>
        <v/>
      </c>
      <c r="N242" s="56" t="str">
        <f>IF(AND('Mapa final'!$AB$113="Muy Baja",'Mapa final'!$AD$113="Menor"),CONCATENATE("R37C",'Mapa final'!$R$113),"")</f>
        <v/>
      </c>
      <c r="O242" s="130" t="str">
        <f>IF(AND('Mapa final'!$AB$114="Muy Baja",'Mapa final'!$AD$114="Menor"),CONCATENATE("R38C",'Mapa final'!$R$114),"")</f>
        <v/>
      </c>
      <c r="P242" s="51" t="str">
        <f>IF(AND('Mapa final'!$AB$112="Muy Baja",'Mapa final'!$AD$112="Moderado"),CONCATENATE("R37C",'Mapa final'!$R$112),"")</f>
        <v/>
      </c>
      <c r="Q242" s="52" t="str">
        <f>IF(AND('Mapa final'!$AB$113="Muy Baja",'Mapa final'!$AD$113="Moderado"),CONCATENATE("R37C",'Mapa final'!$R$113),"")</f>
        <v/>
      </c>
      <c r="R242" s="125" t="str">
        <f>IF(AND('Mapa final'!$AB$114="Muy Baja",'Mapa final'!$AD$114="Moderado"),CONCATENATE("R38C",'Mapa final'!$R$114),"")</f>
        <v/>
      </c>
      <c r="S242" s="119" t="str">
        <f>IF(AND('Mapa final'!$AB$112="Muy Baja",'Mapa final'!$AD$112="Mayor"),CONCATENATE("R37C",'Mapa final'!$R$112),"")</f>
        <v/>
      </c>
      <c r="T242" s="44" t="str">
        <f>IF(AND('Mapa final'!$AB$113="Muy Baja",'Mapa final'!$AD$113="Mayor"),CONCATENATE("R37C",'Mapa final'!$R$113),"")</f>
        <v/>
      </c>
      <c r="U242" s="120" t="str">
        <f>IF(AND('Mapa final'!$AB$114="Muy Baja",'Mapa final'!$AD$114="Mayor"),CONCATENATE("R38C",'Mapa final'!$R$114),"")</f>
        <v/>
      </c>
      <c r="V242" s="45" t="str">
        <f>IF(AND('Mapa final'!$AB$112="Muy Baja",'Mapa final'!$AD$112="Catastrófico"),CONCATENATE("R37C",'Mapa final'!$R$112),"")</f>
        <v/>
      </c>
      <c r="W242" s="46" t="str">
        <f>IF(AND('Mapa final'!$AB$113="Muy Baja",'Mapa final'!$AD$113="Catastrófico"),CONCATENATE("R37C",'Mapa final'!$R$113),"")</f>
        <v/>
      </c>
      <c r="X242" s="114" t="str">
        <f>IF(AND('Mapa final'!$AB$114="Muy Baja",'Mapa final'!$AD$114="Catastrófico"),CONCATENATE("R38C",'Mapa final'!$R$114),"")</f>
        <v/>
      </c>
      <c r="Y242" s="58"/>
      <c r="Z242" s="58"/>
      <c r="AA242" s="58"/>
      <c r="AB242" s="58"/>
      <c r="AC242" s="58"/>
      <c r="AD242" s="58"/>
      <c r="AE242" s="58"/>
      <c r="AF242" s="58"/>
      <c r="AG242" s="58"/>
      <c r="AH242" s="58"/>
      <c r="AI242" s="58"/>
      <c r="AJ242" s="58"/>
      <c r="AK242" s="58"/>
      <c r="AL242" s="58"/>
      <c r="AM242" s="58"/>
      <c r="AN242" s="58"/>
      <c r="AO242" s="58"/>
      <c r="AP242" s="58"/>
      <c r="AQ242" s="58"/>
      <c r="AR242" s="58"/>
      <c r="AS242" s="58"/>
      <c r="AT242" s="58"/>
      <c r="AU242" s="58"/>
      <c r="AV242" s="58"/>
      <c r="AW242" s="58"/>
      <c r="AX242" s="58"/>
      <c r="AY242" s="58"/>
      <c r="AZ242" s="58"/>
      <c r="BA242" s="58"/>
      <c r="BB242" s="58"/>
      <c r="BC242" s="58"/>
      <c r="BD242" s="58"/>
      <c r="BE242" s="58"/>
      <c r="BF242" s="58"/>
      <c r="BG242" s="58"/>
      <c r="BH242" s="58"/>
      <c r="BI242" s="58"/>
      <c r="BJ242" s="58"/>
      <c r="BK242" s="58"/>
      <c r="BL242" s="58"/>
      <c r="BM242" s="58"/>
    </row>
    <row r="243" spans="1:65" ht="15" customHeight="1" x14ac:dyDescent="0.25">
      <c r="A243" s="58"/>
      <c r="B243" s="356"/>
      <c r="C243" s="356"/>
      <c r="D243" s="357"/>
      <c r="E243" s="371"/>
      <c r="F243" s="372"/>
      <c r="G243" s="372"/>
      <c r="H243" s="372"/>
      <c r="I243" s="370"/>
      <c r="J243" s="129" t="str">
        <f>IF(AND('Mapa final'!$AB$115="Muy Baja",'Mapa final'!$AD$115="Leve"),CONCATENATE("R38C",'Mapa final'!$R$115),"")</f>
        <v/>
      </c>
      <c r="K243" s="56" t="str">
        <f>IF(AND('Mapa final'!$AB$116="Muy Baja",'Mapa final'!$AD$116="Leve"),CONCATENATE("R38C",'Mapa final'!$R$116),"")</f>
        <v>R38C2</v>
      </c>
      <c r="L243" s="130" t="str">
        <f>IF(AND('Mapa final'!$AB$117="Muy Baja",'Mapa final'!$AD$117="Leve"),CONCATENATE("R39C",'Mapa final'!$R$117),"")</f>
        <v>R39C3</v>
      </c>
      <c r="M243" s="129" t="str">
        <f>IF(AND('Mapa final'!$AB$115="Muy Baja",'Mapa final'!$AD$115="Menor"),CONCATENATE("R38C",'Mapa final'!$R$115),"")</f>
        <v/>
      </c>
      <c r="N243" s="56" t="str">
        <f>IF(AND('Mapa final'!$AB$116="Muy Baja",'Mapa final'!$AD$116="Menor"),CONCATENATE("R38C",'Mapa final'!$R$116),"")</f>
        <v/>
      </c>
      <c r="O243" s="130" t="str">
        <f>IF(AND('Mapa final'!$AB$117="Muy Baja",'Mapa final'!$AD$117="Menor"),CONCATENATE("R39C",'Mapa final'!$R$117),"")</f>
        <v/>
      </c>
      <c r="P243" s="51" t="str">
        <f>IF(AND('Mapa final'!$AB$115="Muy Baja",'Mapa final'!$AD$115="Moderado"),CONCATENATE("R38C",'Mapa final'!$R$115),"")</f>
        <v/>
      </c>
      <c r="Q243" s="52" t="str">
        <f>IF(AND('Mapa final'!$AB$116="Muy Baja",'Mapa final'!$AD$116="Moderado"),CONCATENATE("R38C",'Mapa final'!$R$116),"")</f>
        <v/>
      </c>
      <c r="R243" s="125" t="str">
        <f>IF(AND('Mapa final'!$AB$117="Muy Baja",'Mapa final'!$AD$117="Moderado"),CONCATENATE("R39C",'Mapa final'!$R$117),"")</f>
        <v/>
      </c>
      <c r="S243" s="119" t="str">
        <f>IF(AND('Mapa final'!$AB$115="Muy Baja",'Mapa final'!$AD$115="Mayor"),CONCATENATE("R38C",'Mapa final'!$R$115),"")</f>
        <v/>
      </c>
      <c r="T243" s="44" t="str">
        <f>IF(AND('Mapa final'!$AB$116="Muy Baja",'Mapa final'!$AD$116="Mayor"),CONCATENATE("R38C",'Mapa final'!$R$116),"")</f>
        <v/>
      </c>
      <c r="U243" s="120" t="str">
        <f>IF(AND('Mapa final'!$AB$117="Muy Baja",'Mapa final'!$AD$117="Mayor"),CONCATENATE("R39C",'Mapa final'!$R$117),"")</f>
        <v/>
      </c>
      <c r="V243" s="45" t="str">
        <f>IF(AND('Mapa final'!$AB$115="Muy Baja",'Mapa final'!$AD$115="Catastrófico"),CONCATENATE("R38C",'Mapa final'!$R$115),"")</f>
        <v/>
      </c>
      <c r="W243" s="46" t="str">
        <f>IF(AND('Mapa final'!$AB$116="Muy Baja",'Mapa final'!$AD$116="Catastrófico"),CONCATENATE("R38C",'Mapa final'!$R$116),"")</f>
        <v/>
      </c>
      <c r="X243" s="114" t="str">
        <f>IF(AND('Mapa final'!$AB$117="Muy Baja",'Mapa final'!$AD$117="Catastrófico"),CONCATENATE("R39C",'Mapa final'!$R$117),"")</f>
        <v/>
      </c>
      <c r="Y243" s="58"/>
      <c r="Z243" s="58"/>
      <c r="AA243" s="58"/>
      <c r="AB243" s="58"/>
      <c r="AC243" s="58"/>
      <c r="AD243" s="58"/>
      <c r="AE243" s="58"/>
      <c r="AF243" s="58"/>
      <c r="AG243" s="58"/>
      <c r="AH243" s="58"/>
      <c r="AI243" s="58"/>
      <c r="AJ243" s="58"/>
      <c r="AK243" s="58"/>
      <c r="AL243" s="58"/>
      <c r="AM243" s="58"/>
      <c r="AN243" s="58"/>
      <c r="AO243" s="58"/>
      <c r="AP243" s="58"/>
      <c r="AQ243" s="58"/>
      <c r="AR243" s="58"/>
      <c r="AS243" s="58"/>
      <c r="AT243" s="58"/>
      <c r="AU243" s="58"/>
      <c r="AV243" s="58"/>
      <c r="AW243" s="58"/>
      <c r="AX243" s="58"/>
      <c r="AY243" s="58"/>
      <c r="AZ243" s="58"/>
      <c r="BA243" s="58"/>
      <c r="BB243" s="58"/>
      <c r="BC243" s="58"/>
      <c r="BD243" s="58"/>
      <c r="BE243" s="58"/>
      <c r="BF243" s="58"/>
      <c r="BG243" s="58"/>
      <c r="BH243" s="58"/>
      <c r="BI243" s="58"/>
      <c r="BJ243" s="58"/>
      <c r="BK243" s="58"/>
      <c r="BL243" s="58"/>
      <c r="BM243" s="58"/>
    </row>
    <row r="244" spans="1:65" ht="15" customHeight="1" x14ac:dyDescent="0.25">
      <c r="A244" s="58"/>
      <c r="B244" s="356"/>
      <c r="C244" s="356"/>
      <c r="D244" s="357"/>
      <c r="E244" s="371"/>
      <c r="F244" s="372"/>
      <c r="G244" s="372"/>
      <c r="H244" s="372"/>
      <c r="I244" s="370"/>
      <c r="J244" s="129" t="str">
        <f>IF(AND('Mapa final'!$AB$118="Muy Baja",'Mapa final'!$AD$118="Leve"),CONCATENATE("R39C",'Mapa final'!$R$118),"")</f>
        <v/>
      </c>
      <c r="K244" s="56" t="str">
        <f>IF(AND('Mapa final'!$AB$119="Muy Baja",'Mapa final'!$AD$119="Leve"),CONCATENATE("R39C",'Mapa final'!$R$119),"")</f>
        <v>R39C2</v>
      </c>
      <c r="L244" s="130" t="str">
        <f>IF(AND('Mapa final'!$AB$120="Muy Baja",'Mapa final'!$AD$120="Leve"),CONCATENATE("R40C",'Mapa final'!$R$120),"")</f>
        <v>R40C3</v>
      </c>
      <c r="M244" s="129" t="str">
        <f>IF(AND('Mapa final'!$AB$118="Muy Baja",'Mapa final'!$AD$118="Menor"),CONCATENATE("R39C",'Mapa final'!$R$118),"")</f>
        <v/>
      </c>
      <c r="N244" s="56" t="str">
        <f>IF(AND('Mapa final'!$AB$119="Muy Baja",'Mapa final'!$AD$119="Menor"),CONCATENATE("R39C",'Mapa final'!$R$119),"")</f>
        <v/>
      </c>
      <c r="O244" s="130" t="str">
        <f>IF(AND('Mapa final'!$AB$120="Muy Baja",'Mapa final'!$AD$120="Menor"),CONCATENATE("R40C",'Mapa final'!$R$120),"")</f>
        <v/>
      </c>
      <c r="P244" s="51" t="str">
        <f>IF(AND('Mapa final'!$AB$118="Muy Baja",'Mapa final'!$AD$118="Moderado"),CONCATENATE("R39C",'Mapa final'!$R$118),"")</f>
        <v/>
      </c>
      <c r="Q244" s="52" t="str">
        <f>IF(AND('Mapa final'!$AB$119="Muy Baja",'Mapa final'!$AD$119="Moderado"),CONCATENATE("R39C",'Mapa final'!$R$119),"")</f>
        <v/>
      </c>
      <c r="R244" s="125" t="str">
        <f>IF(AND('Mapa final'!$AB$120="Muy Baja",'Mapa final'!$AD$120="Moderado"),CONCATENATE("R40C",'Mapa final'!$R$120),"")</f>
        <v/>
      </c>
      <c r="S244" s="119" t="str">
        <f>IF(AND('Mapa final'!$AB$118="Muy Baja",'Mapa final'!$AD$118="Mayor"),CONCATENATE("R39C",'Mapa final'!$R$118),"")</f>
        <v/>
      </c>
      <c r="T244" s="44" t="str">
        <f>IF(AND('Mapa final'!$AB$119="Muy Baja",'Mapa final'!$AD$119="Mayor"),CONCATENATE("R39C",'Mapa final'!$R$119),"")</f>
        <v/>
      </c>
      <c r="U244" s="120" t="str">
        <f>IF(AND('Mapa final'!$AB$120="Muy Baja",'Mapa final'!$AD$120="Mayor"),CONCATENATE("R40C",'Mapa final'!$R$120),"")</f>
        <v/>
      </c>
      <c r="V244" s="45" t="str">
        <f>IF(AND('Mapa final'!$AB$118="Muy Baja",'Mapa final'!$AD$118="Catastrófico"),CONCATENATE("R39C",'Mapa final'!$R$118),"")</f>
        <v/>
      </c>
      <c r="W244" s="46" t="str">
        <f>IF(AND('Mapa final'!$AB$119="Muy Baja",'Mapa final'!$AD$119="Catastrófico"),CONCATENATE("R39C",'Mapa final'!$R$119),"")</f>
        <v/>
      </c>
      <c r="X244" s="114" t="str">
        <f>IF(AND('Mapa final'!$AB$120="Muy Baja",'Mapa final'!$AD$120="Catastrófico"),CONCATENATE("R40C",'Mapa final'!$R$120),"")</f>
        <v/>
      </c>
      <c r="Y244" s="58"/>
      <c r="Z244" s="58"/>
      <c r="AA244" s="58"/>
      <c r="AB244" s="58"/>
      <c r="AC244" s="58"/>
      <c r="AD244" s="58"/>
      <c r="AE244" s="58"/>
      <c r="AF244" s="58"/>
      <c r="AG244" s="58"/>
      <c r="AH244" s="58"/>
      <c r="AI244" s="58"/>
      <c r="AJ244" s="58"/>
      <c r="AK244" s="58"/>
      <c r="AL244" s="58"/>
      <c r="AM244" s="58"/>
      <c r="AN244" s="58"/>
      <c r="AO244" s="58"/>
      <c r="AP244" s="58"/>
      <c r="AQ244" s="58"/>
      <c r="AR244" s="58"/>
      <c r="AS244" s="58"/>
      <c r="AT244" s="58"/>
      <c r="AU244" s="58"/>
      <c r="AV244" s="58"/>
      <c r="AW244" s="58"/>
      <c r="AX244" s="58"/>
      <c r="AY244" s="58"/>
      <c r="AZ244" s="58"/>
      <c r="BA244" s="58"/>
      <c r="BB244" s="58"/>
      <c r="BC244" s="58"/>
      <c r="BD244" s="58"/>
      <c r="BE244" s="58"/>
      <c r="BF244" s="58"/>
      <c r="BG244" s="58"/>
      <c r="BH244" s="58"/>
      <c r="BI244" s="58"/>
      <c r="BJ244" s="58"/>
      <c r="BK244" s="58"/>
      <c r="BL244" s="58"/>
      <c r="BM244" s="58"/>
    </row>
    <row r="245" spans="1:65" ht="15" customHeight="1" x14ac:dyDescent="0.25">
      <c r="A245" s="58"/>
      <c r="B245" s="356"/>
      <c r="C245" s="356"/>
      <c r="D245" s="357"/>
      <c r="E245" s="371"/>
      <c r="F245" s="372"/>
      <c r="G245" s="372"/>
      <c r="H245" s="372"/>
      <c r="I245" s="370"/>
      <c r="J245" s="129" t="str">
        <f>IF(AND('Mapa final'!$AB$121="Muy Baja",'Mapa final'!$AD$121="Leve"),CONCATENATE("R40C",'Mapa final'!$R$121),"")</f>
        <v/>
      </c>
      <c r="K245" s="56" t="str">
        <f>IF(AND('Mapa final'!$AB$122="Muy Baja",'Mapa final'!$AD$122="Leve"),CONCATENATE("R40C",'Mapa final'!$R$122),"")</f>
        <v>R40C2</v>
      </c>
      <c r="L245" s="130" t="str">
        <f>IF(AND('Mapa final'!$AB$123="Muy Baja",'Mapa final'!$AD$123="Leve"),CONCATENATE("R40C",'Mapa final'!$R$123),"")</f>
        <v>R40C3</v>
      </c>
      <c r="M245" s="129" t="str">
        <f>IF(AND('Mapa final'!$AB$121="Muy Baja",'Mapa final'!$AD$121="Menor"),CONCATENATE("R40C",'Mapa final'!$R$121),"")</f>
        <v/>
      </c>
      <c r="N245" s="56" t="str">
        <f>IF(AND('Mapa final'!$AB$122="Muy Baja",'Mapa final'!$AD$122="Menor"),CONCATENATE("R40C",'Mapa final'!$R$122),"")</f>
        <v/>
      </c>
      <c r="O245" s="130" t="str">
        <f>IF(AND('Mapa final'!$AB$123="Muy Baja",'Mapa final'!$AD$123="Menor"),CONCATENATE("R40C",'Mapa final'!$R$123),"")</f>
        <v/>
      </c>
      <c r="P245" s="51" t="str">
        <f>IF(AND('Mapa final'!$AB$121="Muy Baja",'Mapa final'!$AD$121="Moderado"),CONCATENATE("R40C",'Mapa final'!$R$121),"")</f>
        <v/>
      </c>
      <c r="Q245" s="52" t="str">
        <f>IF(AND('Mapa final'!$AB$122="Muy Baja",'Mapa final'!$AD$122="Moderado"),CONCATENATE("R40C",'Mapa final'!$R$122),"")</f>
        <v/>
      </c>
      <c r="R245" s="125" t="str">
        <f>IF(AND('Mapa final'!$AB$123="Muy Baja",'Mapa final'!$AD$123="Moderado"),CONCATENATE("R40C",'Mapa final'!$R$123),"")</f>
        <v/>
      </c>
      <c r="S245" s="119" t="str">
        <f>IF(AND('Mapa final'!$AB$121="Muy Baja",'Mapa final'!$AD$121="Mayor"),CONCATENATE("R40C",'Mapa final'!$R$121),"")</f>
        <v/>
      </c>
      <c r="T245" s="44" t="str">
        <f>IF(AND('Mapa final'!$AB$122="Muy Baja",'Mapa final'!$AD$122="Mayor"),CONCATENATE("R40C",'Mapa final'!$R$122),"")</f>
        <v/>
      </c>
      <c r="U245" s="120" t="str">
        <f>IF(AND('Mapa final'!$AB$123="Muy Baja",'Mapa final'!$AD$123="Mayor"),CONCATENATE("R40C",'Mapa final'!$R$123),"")</f>
        <v/>
      </c>
      <c r="V245" s="45" t="str">
        <f>IF(AND('Mapa final'!$AB$121="Muy Baja",'Mapa final'!$AD$121="Catastrófico"),CONCATENATE("R40C",'Mapa final'!$R$121),"")</f>
        <v/>
      </c>
      <c r="W245" s="46" t="str">
        <f>IF(AND('Mapa final'!$AB$122="Muy Baja",'Mapa final'!$AD$122="Catastrófico"),CONCATENATE("R40C",'Mapa final'!$R$122),"")</f>
        <v/>
      </c>
      <c r="X245" s="114" t="str">
        <f>IF(AND('Mapa final'!$AB$123="Muy Baja",'Mapa final'!$AD$123="Catastrófico"),CONCATENATE("R40C",'Mapa final'!$R$123),"")</f>
        <v/>
      </c>
      <c r="Y245" s="58"/>
      <c r="Z245" s="58"/>
      <c r="AA245" s="58"/>
      <c r="AB245" s="58"/>
      <c r="AC245" s="58"/>
      <c r="AD245" s="58"/>
      <c r="AE245" s="58"/>
      <c r="AF245" s="58"/>
      <c r="AG245" s="58"/>
      <c r="AH245" s="58"/>
      <c r="AI245" s="58"/>
      <c r="AJ245" s="58"/>
      <c r="AK245" s="58"/>
      <c r="AL245" s="58"/>
      <c r="AM245" s="58"/>
      <c r="AN245" s="58"/>
      <c r="AO245" s="58"/>
      <c r="AP245" s="58"/>
      <c r="AQ245" s="58"/>
      <c r="AR245" s="58"/>
      <c r="AS245" s="58"/>
      <c r="AT245" s="58"/>
      <c r="AU245" s="58"/>
      <c r="AV245" s="58"/>
      <c r="AW245" s="58"/>
      <c r="AX245" s="58"/>
      <c r="AY245" s="58"/>
      <c r="AZ245" s="58"/>
      <c r="BA245" s="58"/>
      <c r="BB245" s="58"/>
      <c r="BC245" s="58"/>
      <c r="BD245" s="58"/>
      <c r="BE245" s="58"/>
      <c r="BF245" s="58"/>
      <c r="BG245" s="58"/>
      <c r="BH245" s="58"/>
      <c r="BI245" s="58"/>
      <c r="BJ245" s="58"/>
      <c r="BK245" s="58"/>
      <c r="BL245" s="58"/>
      <c r="BM245" s="58"/>
    </row>
    <row r="246" spans="1:65" ht="15" customHeight="1" x14ac:dyDescent="0.25">
      <c r="A246" s="58"/>
      <c r="B246" s="356"/>
      <c r="C246" s="356"/>
      <c r="D246" s="357"/>
      <c r="E246" s="371"/>
      <c r="F246" s="372"/>
      <c r="G246" s="372"/>
      <c r="H246" s="372"/>
      <c r="I246" s="370"/>
      <c r="J246" s="129" t="str">
        <f>IF(AND('Mapa final'!$AB$124="Muy Baja",'Mapa final'!$AD$124="Leve"),CONCATENATE("R41C",'Mapa final'!$R$124),"")</f>
        <v/>
      </c>
      <c r="K246" s="56" t="str">
        <f>IF(AND('Mapa final'!$AB$125="Muy Baja",'Mapa final'!$AD$125="Leve"),CONCATENATE("R41C",'Mapa final'!$R$125),"")</f>
        <v>R41C2</v>
      </c>
      <c r="L246" s="130" t="str">
        <f>IF(AND('Mapa final'!$AB$126="Muy Baja",'Mapa final'!$AD$126="Leve"),CONCATENATE("R41C",'Mapa final'!$R$126),"")</f>
        <v>R41C3</v>
      </c>
      <c r="M246" s="129" t="str">
        <f>IF(AND('Mapa final'!$AB$124="Muy Baja",'Mapa final'!$AD$124="Menor"),CONCATENATE("R41C",'Mapa final'!$R$124),"")</f>
        <v/>
      </c>
      <c r="N246" s="56" t="str">
        <f>IF(AND('Mapa final'!$AB$125="Muy Baja",'Mapa final'!$AD$125="Menor"),CONCATENATE("R41C",'Mapa final'!$R$125),"")</f>
        <v/>
      </c>
      <c r="O246" s="130" t="str">
        <f>IF(AND('Mapa final'!$AB$126="Muy Baja",'Mapa final'!$AD$126="Menor"),CONCATENATE("R41C",'Mapa final'!$R$126),"")</f>
        <v/>
      </c>
      <c r="P246" s="51" t="str">
        <f>IF(AND('Mapa final'!$AB$124="Muy Baja",'Mapa final'!$AD$124="Moderado"),CONCATENATE("R41C",'Mapa final'!$R$124),"")</f>
        <v/>
      </c>
      <c r="Q246" s="52" t="str">
        <f>IF(AND('Mapa final'!$AB$125="Muy Baja",'Mapa final'!$AD$125="Moderado"),CONCATENATE("R41C",'Mapa final'!$R$125),"")</f>
        <v/>
      </c>
      <c r="R246" s="125" t="str">
        <f>IF(AND('Mapa final'!$AB$126="Muy Baja",'Mapa final'!$AD$126="Moderado"),CONCATENATE("R41C",'Mapa final'!$R$126),"")</f>
        <v/>
      </c>
      <c r="S246" s="119" t="str">
        <f>IF(AND('Mapa final'!$AB$124="Muy Baja",'Mapa final'!$AD$124="Mayor"),CONCATENATE("R41C",'Mapa final'!$R$124),"")</f>
        <v/>
      </c>
      <c r="T246" s="44" t="str">
        <f>IF(AND('Mapa final'!$AB$125="Muy Baja",'Mapa final'!$AD$125="Mayor"),CONCATENATE("R41C",'Mapa final'!$R$125),"")</f>
        <v/>
      </c>
      <c r="U246" s="120" t="str">
        <f>IF(AND('Mapa final'!$AB$126="Muy Baja",'Mapa final'!$AD$126="Mayor"),CONCATENATE("R41C",'Mapa final'!$R$126),"")</f>
        <v/>
      </c>
      <c r="V246" s="45" t="str">
        <f>IF(AND('Mapa final'!$AB$124="Muy Baja",'Mapa final'!$AD$124="Catastrófico"),CONCATENATE("R41C",'Mapa final'!$R$124),"")</f>
        <v/>
      </c>
      <c r="W246" s="46" t="str">
        <f>IF(AND('Mapa final'!$AB$125="Muy Baja",'Mapa final'!$AD$125="Catastrófico"),CONCATENATE("R41C",'Mapa final'!$R$125),"")</f>
        <v/>
      </c>
      <c r="X246" s="114" t="str">
        <f>IF(AND('Mapa final'!$AB$126="Muy Baja",'Mapa final'!$AD$126="Catastrófico"),CONCATENATE("R41C",'Mapa final'!$R$126),"")</f>
        <v/>
      </c>
      <c r="Y246" s="58"/>
      <c r="Z246" s="58"/>
      <c r="AA246" s="58"/>
      <c r="AB246" s="58"/>
      <c r="AC246" s="58"/>
      <c r="AD246" s="58"/>
      <c r="AE246" s="58"/>
      <c r="AF246" s="58"/>
      <c r="AG246" s="58"/>
      <c r="AH246" s="58"/>
      <c r="AI246" s="58"/>
      <c r="AJ246" s="58"/>
      <c r="AK246" s="58"/>
      <c r="AL246" s="58"/>
      <c r="AM246" s="58"/>
      <c r="AN246" s="58"/>
      <c r="AO246" s="58"/>
      <c r="AP246" s="58"/>
      <c r="AQ246" s="58"/>
      <c r="AR246" s="58"/>
      <c r="AS246" s="58"/>
      <c r="AT246" s="58"/>
      <c r="AU246" s="58"/>
      <c r="AV246" s="58"/>
      <c r="AW246" s="58"/>
      <c r="AX246" s="58"/>
      <c r="AY246" s="58"/>
      <c r="AZ246" s="58"/>
      <c r="BA246" s="58"/>
      <c r="BB246" s="58"/>
      <c r="BC246" s="58"/>
      <c r="BD246" s="58"/>
      <c r="BE246" s="58"/>
      <c r="BF246" s="58"/>
      <c r="BG246" s="58"/>
      <c r="BH246" s="58"/>
      <c r="BI246" s="58"/>
      <c r="BJ246" s="58"/>
      <c r="BK246" s="58"/>
      <c r="BL246" s="58"/>
      <c r="BM246" s="58"/>
    </row>
    <row r="247" spans="1:65" ht="15" customHeight="1" x14ac:dyDescent="0.25">
      <c r="A247" s="58"/>
      <c r="B247" s="356"/>
      <c r="C247" s="356"/>
      <c r="D247" s="357"/>
      <c r="E247" s="371"/>
      <c r="F247" s="372"/>
      <c r="G247" s="372"/>
      <c r="H247" s="372"/>
      <c r="I247" s="370"/>
      <c r="J247" s="129" t="str">
        <f>IF(AND('Mapa final'!$AB$127="Muy Baja",'Mapa final'!$AD$127="Leve"),CONCATENATE("R42C",'Mapa final'!$R$127),"")</f>
        <v/>
      </c>
      <c r="K247" s="56" t="str">
        <f>IF(AND('Mapa final'!$AB$128="Muy Baja",'Mapa final'!$AD$128="Leve"),CONCATENATE("R42C",'Mapa final'!$R$128),"")</f>
        <v>R42C2</v>
      </c>
      <c r="L247" s="130" t="str">
        <f>IF(AND('Mapa final'!$AB$129="Muy Baja",'Mapa final'!$AD$129="Leve"),CONCATENATE("R2C",'Mapa final'!$R$129),"")</f>
        <v>R2C3</v>
      </c>
      <c r="M247" s="129" t="str">
        <f>IF(AND('Mapa final'!$AB$127="Muy Baja",'Mapa final'!$AD$127="Menor"),CONCATENATE("R42C",'Mapa final'!$R$127),"")</f>
        <v/>
      </c>
      <c r="N247" s="56" t="str">
        <f>IF(AND('Mapa final'!$AB$128="Muy Baja",'Mapa final'!$AD$128="Menor"),CONCATENATE("R42C",'Mapa final'!$R$128),"")</f>
        <v/>
      </c>
      <c r="O247" s="130" t="str">
        <f>IF(AND('Mapa final'!$AB$129="Muy Baja",'Mapa final'!$AD$129="Menor"),CONCATENATE("R2C",'Mapa final'!$R$129),"")</f>
        <v/>
      </c>
      <c r="P247" s="51" t="str">
        <f>IF(AND('Mapa final'!$AB$127="Muy Baja",'Mapa final'!$AD$127="Moderado"),CONCATENATE("R42C",'Mapa final'!$R$127),"")</f>
        <v/>
      </c>
      <c r="Q247" s="52" t="str">
        <f>IF(AND('Mapa final'!$AB$128="Muy Baja",'Mapa final'!$AD$128="Moderado"),CONCATENATE("R42C",'Mapa final'!$R$128),"")</f>
        <v/>
      </c>
      <c r="R247" s="125" t="str">
        <f>IF(AND('Mapa final'!$AB$129="Muy Baja",'Mapa final'!$AD$129="Moderado"),CONCATENATE("R2C",'Mapa final'!$R$129),"")</f>
        <v/>
      </c>
      <c r="S247" s="119" t="str">
        <f>IF(AND('Mapa final'!$AB$127="Muy Baja",'Mapa final'!$AD$127="Mayor"),CONCATENATE("R42C",'Mapa final'!$R$127),"")</f>
        <v/>
      </c>
      <c r="T247" s="44" t="str">
        <f>IF(AND('Mapa final'!$AB$128="Muy Baja",'Mapa final'!$AD$128="Mayor"),CONCATENATE("R42C",'Mapa final'!$R$128),"")</f>
        <v/>
      </c>
      <c r="U247" s="120" t="str">
        <f>IF(AND('Mapa final'!$AB$129="Muy Baja",'Mapa final'!$AD$129="Mayor"),CONCATENATE("R2C",'Mapa final'!$R$129),"")</f>
        <v/>
      </c>
      <c r="V247" s="45" t="str">
        <f>IF(AND('Mapa final'!$AB$127="Muy Baja",'Mapa final'!$AD$127="Catastrófico"),CONCATENATE("R42C",'Mapa final'!$R$127),"")</f>
        <v/>
      </c>
      <c r="W247" s="46" t="str">
        <f>IF(AND('Mapa final'!$AB$128="Muy Baja",'Mapa final'!$AD$128="Catastrófico"),CONCATENATE("R42C",'Mapa final'!$R$128),"")</f>
        <v/>
      </c>
      <c r="X247" s="114" t="str">
        <f>IF(AND('Mapa final'!$AB$129="Muy Baja",'Mapa final'!$AD$129="Catastrófico"),CONCATENATE("R2C",'Mapa final'!$R$129),"")</f>
        <v/>
      </c>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c r="BD247" s="58"/>
      <c r="BE247" s="58"/>
      <c r="BF247" s="58"/>
      <c r="BG247" s="58"/>
      <c r="BH247" s="58"/>
      <c r="BI247" s="58"/>
      <c r="BJ247" s="58"/>
      <c r="BK247" s="58"/>
      <c r="BL247" s="58"/>
      <c r="BM247" s="58"/>
    </row>
    <row r="248" spans="1:65" ht="15" customHeight="1" x14ac:dyDescent="0.25">
      <c r="A248" s="58"/>
      <c r="B248" s="356"/>
      <c r="C248" s="356"/>
      <c r="D248" s="357"/>
      <c r="E248" s="371"/>
      <c r="F248" s="372"/>
      <c r="G248" s="372"/>
      <c r="H248" s="372"/>
      <c r="I248" s="370"/>
      <c r="J248" s="129" t="str">
        <f>IF(AND('Mapa final'!$AB$130="Muy Baja",'Mapa final'!$AD$130="Leve"),CONCATENATE("R43C",'Mapa final'!$R$130),"")</f>
        <v/>
      </c>
      <c r="K248" s="56" t="str">
        <f>IF(AND('Mapa final'!$AB$131="Muy Baja",'Mapa final'!$AD$131="Leve"),CONCATENATE("R43C",'Mapa final'!$R$131),"")</f>
        <v>R43C2</v>
      </c>
      <c r="L248" s="130" t="str">
        <f>IF(AND('Mapa final'!$AB$132="Muy Baja",'Mapa final'!$AD$132="Leve"),CONCATENATE("R43C",'Mapa final'!$R$132),"")</f>
        <v>R43C3</v>
      </c>
      <c r="M248" s="129" t="str">
        <f>IF(AND('Mapa final'!$AB$130="Muy Baja",'Mapa final'!$AD$130="Menor"),CONCATENATE("R43C",'Mapa final'!$R$130),"")</f>
        <v/>
      </c>
      <c r="N248" s="56" t="str">
        <f>IF(AND('Mapa final'!$AB$131="Muy Baja",'Mapa final'!$AD$131="Menor"),CONCATENATE("R43C",'Mapa final'!$R$131),"")</f>
        <v/>
      </c>
      <c r="O248" s="130" t="str">
        <f>IF(AND('Mapa final'!$AB$132="Muy Baja",'Mapa final'!$AD$132="Menor"),CONCATENATE("R43C",'Mapa final'!$R$132),"")</f>
        <v/>
      </c>
      <c r="P248" s="51" t="str">
        <f>IF(AND('Mapa final'!$AB$130="Muy Baja",'Mapa final'!$AD$130="Moderado"),CONCATENATE("R43C",'Mapa final'!$R$130),"")</f>
        <v/>
      </c>
      <c r="Q248" s="52" t="str">
        <f>IF(AND('Mapa final'!$AB$131="Muy Baja",'Mapa final'!$AD$131="Moderado"),CONCATENATE("R43C",'Mapa final'!$R$131),"")</f>
        <v/>
      </c>
      <c r="R248" s="125" t="str">
        <f>IF(AND('Mapa final'!$AB$132="Muy Baja",'Mapa final'!$AD$132="Moderado"),CONCATENATE("R43C",'Mapa final'!$R$132),"")</f>
        <v/>
      </c>
      <c r="S248" s="119" t="str">
        <f>IF(AND('Mapa final'!$AB$130="Muy Baja",'Mapa final'!$AD$130="Mayor"),CONCATENATE("R43C",'Mapa final'!$R$130),"")</f>
        <v/>
      </c>
      <c r="T248" s="44" t="str">
        <f>IF(AND('Mapa final'!$AB$131="Muy Baja",'Mapa final'!$AD$131="Mayor"),CONCATENATE("R43C",'Mapa final'!$R$131),"")</f>
        <v/>
      </c>
      <c r="U248" s="120" t="str">
        <f>IF(AND('Mapa final'!$AB$132="Muy Baja",'Mapa final'!$AD$132="Mayor"),CONCATENATE("R43C",'Mapa final'!$R$132),"")</f>
        <v/>
      </c>
      <c r="V248" s="45" t="str">
        <f>IF(AND('Mapa final'!$AB$130="Muy Baja",'Mapa final'!$AD$130="Catastrófico"),CONCATENATE("R43C",'Mapa final'!$R$130),"")</f>
        <v/>
      </c>
      <c r="W248" s="46" t="str">
        <f>IF(AND('Mapa final'!$AB$131="Muy Baja",'Mapa final'!$AD$131="Catastrófico"),CONCATENATE("R43C",'Mapa final'!$R$131),"")</f>
        <v/>
      </c>
      <c r="X248" s="114" t="str">
        <f>IF(AND('Mapa final'!$AB$132="Muy Baja",'Mapa final'!$AD$132="Catastrófico"),CONCATENATE("R43C",'Mapa final'!$R$132),"")</f>
        <v/>
      </c>
      <c r="Y248" s="58"/>
      <c r="Z248" s="58"/>
      <c r="AA248" s="58"/>
      <c r="AB248" s="58"/>
      <c r="AC248" s="58"/>
      <c r="AD248" s="58"/>
      <c r="AE248" s="58"/>
      <c r="AF248" s="58"/>
      <c r="AG248" s="58"/>
      <c r="AH248" s="58"/>
      <c r="AI248" s="58"/>
      <c r="AJ248" s="58"/>
      <c r="AK248" s="58"/>
      <c r="AL248" s="58"/>
      <c r="AM248" s="58"/>
      <c r="AN248" s="58"/>
      <c r="AO248" s="58"/>
      <c r="AP248" s="58"/>
      <c r="AQ248" s="58"/>
      <c r="AR248" s="58"/>
      <c r="AS248" s="58"/>
      <c r="AT248" s="58"/>
      <c r="AU248" s="58"/>
      <c r="AV248" s="58"/>
      <c r="AW248" s="58"/>
      <c r="AX248" s="58"/>
      <c r="AY248" s="58"/>
      <c r="AZ248" s="58"/>
      <c r="BA248" s="58"/>
      <c r="BB248" s="58"/>
      <c r="BC248" s="58"/>
      <c r="BD248" s="58"/>
      <c r="BE248" s="58"/>
      <c r="BF248" s="58"/>
      <c r="BG248" s="58"/>
      <c r="BH248" s="58"/>
      <c r="BI248" s="58"/>
      <c r="BJ248" s="58"/>
      <c r="BK248" s="58"/>
      <c r="BL248" s="58"/>
      <c r="BM248" s="58"/>
    </row>
    <row r="249" spans="1:65" ht="15" customHeight="1" x14ac:dyDescent="0.25">
      <c r="A249" s="58"/>
      <c r="B249" s="356"/>
      <c r="C249" s="356"/>
      <c r="D249" s="357"/>
      <c r="E249" s="371"/>
      <c r="F249" s="372"/>
      <c r="G249" s="372"/>
      <c r="H249" s="372"/>
      <c r="I249" s="370"/>
      <c r="J249" s="129" t="str">
        <f>IF(AND('Mapa final'!$AB$133="Muy Baja",'Mapa final'!$AD$133="Leve"),CONCATENATE("R44C",'Mapa final'!$R$133),"")</f>
        <v/>
      </c>
      <c r="K249" s="56" t="str">
        <f>IF(AND('Mapa final'!$AB$134="Muy Baja",'Mapa final'!$AD$134="Leve"),CONCATENATE("R44C",'Mapa final'!$R$134),"")</f>
        <v>R44C2</v>
      </c>
      <c r="L249" s="130" t="str">
        <f>IF(AND('Mapa final'!$AB$135="Muy Baja",'Mapa final'!$AD$135="Leve"),CONCATENATE("R44C",'Mapa final'!$R$135),"")</f>
        <v>R44C3</v>
      </c>
      <c r="M249" s="129" t="str">
        <f>IF(AND('Mapa final'!$AB$133="Muy Baja",'Mapa final'!$AD$133="Menor"),CONCATENATE("R44C",'Mapa final'!$R$133),"")</f>
        <v/>
      </c>
      <c r="N249" s="56" t="str">
        <f>IF(AND('Mapa final'!$AB$134="Muy Baja",'Mapa final'!$AD$134="Menor"),CONCATENATE("R44C",'Mapa final'!$R$134),"")</f>
        <v/>
      </c>
      <c r="O249" s="130" t="str">
        <f>IF(AND('Mapa final'!$AB$135="Muy Baja",'Mapa final'!$AD$135="Menor"),CONCATENATE("R44C",'Mapa final'!$R$135),"")</f>
        <v/>
      </c>
      <c r="P249" s="51" t="str">
        <f>IF(AND('Mapa final'!$AB$133="Muy Baja",'Mapa final'!$AD$133="Moderado"),CONCATENATE("R44C",'Mapa final'!$R$133),"")</f>
        <v/>
      </c>
      <c r="Q249" s="52" t="str">
        <f>IF(AND('Mapa final'!$AB$134="Muy Baja",'Mapa final'!$AD$134="Moderado"),CONCATENATE("R44C",'Mapa final'!$R$134),"")</f>
        <v/>
      </c>
      <c r="R249" s="125" t="str">
        <f>IF(AND('Mapa final'!$AB$135="Muy Baja",'Mapa final'!$AD$135="Moderado"),CONCATENATE("R44C",'Mapa final'!$R$135),"")</f>
        <v/>
      </c>
      <c r="S249" s="119" t="str">
        <f>IF(AND('Mapa final'!$AB$133="Muy Baja",'Mapa final'!$AD$133="Mayor"),CONCATENATE("R44C",'Mapa final'!$R$133),"")</f>
        <v/>
      </c>
      <c r="T249" s="44" t="str">
        <f>IF(AND('Mapa final'!$AB$134="Muy Baja",'Mapa final'!$AD$134="Mayor"),CONCATENATE("R44C",'Mapa final'!$R$134),"")</f>
        <v/>
      </c>
      <c r="U249" s="120" t="str">
        <f>IF(AND('Mapa final'!$AB$135="Muy Baja",'Mapa final'!$AD$135="Mayor"),CONCATENATE("R44C",'Mapa final'!$R$135),"")</f>
        <v/>
      </c>
      <c r="V249" s="45" t="str">
        <f>IF(AND('Mapa final'!$AB$133="Muy Baja",'Mapa final'!$AD$133="Catastrófico"),CONCATENATE("R44C",'Mapa final'!$R$133),"")</f>
        <v/>
      </c>
      <c r="W249" s="46" t="str">
        <f>IF(AND('Mapa final'!$AB$134="Muy Baja",'Mapa final'!$AD$134="Catastrófico"),CONCATENATE("R44C",'Mapa final'!$R$134),"")</f>
        <v/>
      </c>
      <c r="X249" s="114" t="str">
        <f>IF(AND('Mapa final'!$AB$135="Muy Baja",'Mapa final'!$AD$135="Catastrófico"),CONCATENATE("R44C",'Mapa final'!$R$135),"")</f>
        <v/>
      </c>
      <c r="Y249" s="58"/>
      <c r="Z249" s="58"/>
      <c r="AA249" s="58"/>
      <c r="AB249" s="58"/>
      <c r="AC249" s="58"/>
      <c r="AD249" s="58"/>
      <c r="AE249" s="58"/>
      <c r="AF249" s="58"/>
      <c r="AG249" s="58"/>
      <c r="AH249" s="58"/>
      <c r="AI249" s="58"/>
      <c r="AJ249" s="58"/>
      <c r="AK249" s="58"/>
      <c r="AL249" s="58"/>
      <c r="AM249" s="58"/>
      <c r="AN249" s="58"/>
      <c r="AO249" s="58"/>
      <c r="AP249" s="58"/>
      <c r="AQ249" s="58"/>
      <c r="AR249" s="58"/>
      <c r="AS249" s="58"/>
      <c r="AT249" s="58"/>
      <c r="AU249" s="58"/>
      <c r="AV249" s="58"/>
      <c r="AW249" s="58"/>
      <c r="AX249" s="58"/>
      <c r="AY249" s="58"/>
      <c r="AZ249" s="58"/>
      <c r="BA249" s="58"/>
      <c r="BB249" s="58"/>
      <c r="BC249" s="58"/>
      <c r="BD249" s="58"/>
      <c r="BE249" s="58"/>
      <c r="BF249" s="58"/>
      <c r="BG249" s="58"/>
      <c r="BH249" s="58"/>
      <c r="BI249" s="58"/>
      <c r="BJ249" s="58"/>
      <c r="BK249" s="58"/>
      <c r="BL249" s="58"/>
      <c r="BM249" s="58"/>
    </row>
    <row r="250" spans="1:65" ht="15" customHeight="1" x14ac:dyDescent="0.25">
      <c r="A250" s="58"/>
      <c r="B250" s="356"/>
      <c r="C250" s="356"/>
      <c r="D250" s="357"/>
      <c r="E250" s="371"/>
      <c r="F250" s="372"/>
      <c r="G250" s="372"/>
      <c r="H250" s="372"/>
      <c r="I250" s="370"/>
      <c r="J250" s="129" t="str">
        <f>IF(AND('Mapa final'!$AB$136="Muy Baja",'Mapa final'!$AD$136="Leve"),CONCATENATE("R45C",'Mapa final'!$R$136),"")</f>
        <v/>
      </c>
      <c r="K250" s="56" t="str">
        <f>IF(AND('Mapa final'!$AB$137="Muy Baja",'Mapa final'!$AD$137="Leve"),CONCATENATE("R45C",'Mapa final'!$R$137),"")</f>
        <v/>
      </c>
      <c r="L250" s="130" t="str">
        <f>IF(AND('Mapa final'!$AB$138="Muy Baja",'Mapa final'!$AD$138="Leve"),CONCATENATE("R45C",'Mapa final'!$R$138),"")</f>
        <v/>
      </c>
      <c r="M250" s="129" t="str">
        <f>IF(AND('Mapa final'!$AB$136="Muy Baja",'Mapa final'!$AD$136="Menor"),CONCATENATE("R45C",'Mapa final'!$R$136),"")</f>
        <v/>
      </c>
      <c r="N250" s="56" t="str">
        <f>IF(AND('Mapa final'!$AB$137="Muy Baja",'Mapa final'!$AD$137="Menor"),CONCATENATE("R45C",'Mapa final'!$R$137),"")</f>
        <v/>
      </c>
      <c r="O250" s="130" t="str">
        <f>IF(AND('Mapa final'!$AB$138="Muy Baja",'Mapa final'!$AD$138="Menor"),CONCATENATE("R45C",'Mapa final'!$R$138),"")</f>
        <v/>
      </c>
      <c r="P250" s="51" t="str">
        <f>IF(AND('Mapa final'!$AB$136="Muy Baja",'Mapa final'!$AD$136="Moderado"),CONCATENATE("R45C",'Mapa final'!$R$136),"")</f>
        <v/>
      </c>
      <c r="Q250" s="52" t="str">
        <f>IF(AND('Mapa final'!$AB$137="Muy Baja",'Mapa final'!$AD$137="Moderado"),CONCATENATE("R45C",'Mapa final'!$R$137),"")</f>
        <v/>
      </c>
      <c r="R250" s="125" t="str">
        <f>IF(AND('Mapa final'!$AB$138="Muy Baja",'Mapa final'!$AD$138="Moderado"),CONCATENATE("R45C",'Mapa final'!$R$138),"")</f>
        <v/>
      </c>
      <c r="S250" s="119" t="str">
        <f>IF(AND('Mapa final'!$AB$136="Muy Baja",'Mapa final'!$AD$136="Mayor"),CONCATENATE("R45C",'Mapa final'!$R$136),"")</f>
        <v/>
      </c>
      <c r="T250" s="44" t="str">
        <f>IF(AND('Mapa final'!$AB$137="Muy Baja",'Mapa final'!$AD$137="Mayor"),CONCATENATE("R45C",'Mapa final'!$R$137),"")</f>
        <v/>
      </c>
      <c r="U250" s="120" t="str">
        <f>IF(AND('Mapa final'!$AB$138="Muy Baja",'Mapa final'!$AD$138="Mayor"),CONCATENATE("R45C",'Mapa final'!$R$138),"")</f>
        <v/>
      </c>
      <c r="V250" s="45" t="str">
        <f>IF(AND('Mapa final'!$AB$136="Muy Baja",'Mapa final'!$AD$136="Catastrófico"),CONCATENATE("R45C",'Mapa final'!$R$136),"")</f>
        <v/>
      </c>
      <c r="W250" s="46" t="str">
        <f>IF(AND('Mapa final'!$AB$137="Muy Baja",'Mapa final'!$AD$137="Catastrófico"),CONCATENATE("R45C",'Mapa final'!$R$137),"")</f>
        <v/>
      </c>
      <c r="X250" s="114" t="str">
        <f>IF(AND('Mapa final'!$AB$138="Muy Baja",'Mapa final'!$AD$138="Catastrófico"),CONCATENATE("R45C",'Mapa final'!$R$138),"")</f>
        <v/>
      </c>
      <c r="Y250" s="58"/>
      <c r="Z250" s="58"/>
      <c r="AA250" s="58"/>
      <c r="AB250" s="58"/>
      <c r="AC250" s="58"/>
      <c r="AD250" s="58"/>
      <c r="AE250" s="58"/>
      <c r="AF250" s="58"/>
      <c r="AG250" s="58"/>
      <c r="AH250" s="58"/>
      <c r="AI250" s="58"/>
      <c r="AJ250" s="58"/>
      <c r="AK250" s="58"/>
      <c r="AL250" s="58"/>
      <c r="AM250" s="58"/>
      <c r="AN250" s="58"/>
      <c r="AO250" s="58"/>
      <c r="AP250" s="58"/>
      <c r="AQ250" s="58"/>
      <c r="AR250" s="58"/>
      <c r="AS250" s="58"/>
      <c r="AT250" s="58"/>
      <c r="AU250" s="58"/>
      <c r="AV250" s="58"/>
      <c r="AW250" s="58"/>
      <c r="AX250" s="58"/>
      <c r="AY250" s="58"/>
      <c r="AZ250" s="58"/>
      <c r="BA250" s="58"/>
      <c r="BB250" s="58"/>
      <c r="BC250" s="58"/>
      <c r="BD250" s="58"/>
      <c r="BE250" s="58"/>
      <c r="BF250" s="58"/>
      <c r="BG250" s="58"/>
      <c r="BH250" s="58"/>
      <c r="BI250" s="58"/>
      <c r="BJ250" s="58"/>
      <c r="BK250" s="58"/>
      <c r="BL250" s="58"/>
      <c r="BM250" s="58"/>
    </row>
    <row r="251" spans="1:65" ht="15" customHeight="1" x14ac:dyDescent="0.25">
      <c r="A251" s="58"/>
      <c r="B251" s="356"/>
      <c r="C251" s="356"/>
      <c r="D251" s="357"/>
      <c r="E251" s="371"/>
      <c r="F251" s="372"/>
      <c r="G251" s="372"/>
      <c r="H251" s="372"/>
      <c r="I251" s="370"/>
      <c r="J251" s="129" t="str">
        <f>IF(AND('Mapa final'!$AB$139="Muy Baja",'Mapa final'!$AD$139="Leve"),CONCATENATE("R46C",'Mapa final'!$R$139),"")</f>
        <v/>
      </c>
      <c r="K251" s="56" t="str">
        <f>IF(AND('Mapa final'!$AB$140="Muy Baja",'Mapa final'!$AD$140="Leve"),CONCATENATE("R46C",'Mapa final'!$R$140),"")</f>
        <v/>
      </c>
      <c r="L251" s="130" t="str">
        <f>IF(AND('Mapa final'!$AB$141="Muy Baja",'Mapa final'!$AD$141="Leve"),CONCATENATE("R46C",'Mapa final'!$R$141),"")</f>
        <v/>
      </c>
      <c r="M251" s="129" t="str">
        <f>IF(AND('Mapa final'!$AB$139="Muy Baja",'Mapa final'!$AD$139="Menor"),CONCATENATE("R46C",'Mapa final'!$R$139),"")</f>
        <v/>
      </c>
      <c r="N251" s="56" t="str">
        <f>IF(AND('Mapa final'!$AB$140="Muy Baja",'Mapa final'!$AD$140="Menor"),CONCATENATE("R46C",'Mapa final'!$R$140),"")</f>
        <v/>
      </c>
      <c r="O251" s="130" t="str">
        <f>IF(AND('Mapa final'!$AB$141="Muy Baja",'Mapa final'!$AD$141="Menor"),CONCATENATE("R46C",'Mapa final'!$R$141),"")</f>
        <v/>
      </c>
      <c r="P251" s="51" t="str">
        <f>IF(AND('Mapa final'!$AB$139="Muy Baja",'Mapa final'!$AD$139="Moderado"),CONCATENATE("R46C",'Mapa final'!$R$139),"")</f>
        <v/>
      </c>
      <c r="Q251" s="52" t="str">
        <f>IF(AND('Mapa final'!$AB$140="Muy Baja",'Mapa final'!$AD$140="Moderado"),CONCATENATE("R46C",'Mapa final'!$R$140),"")</f>
        <v/>
      </c>
      <c r="R251" s="125" t="str">
        <f>IF(AND('Mapa final'!$AB$141="Muy Baja",'Mapa final'!$AD$141="Moderado"),CONCATENATE("R46C",'Mapa final'!$R$141),"")</f>
        <v/>
      </c>
      <c r="S251" s="119" t="str">
        <f>IF(AND('Mapa final'!$AB$139="Muy Baja",'Mapa final'!$AD$139="Mayor"),CONCATENATE("R46C",'Mapa final'!$R$139),"")</f>
        <v/>
      </c>
      <c r="T251" s="44" t="str">
        <f>IF(AND('Mapa final'!$AB$140="Muy Baja",'Mapa final'!$AD$140="Mayor"),CONCATENATE("R46C",'Mapa final'!$R$140),"")</f>
        <v/>
      </c>
      <c r="U251" s="120" t="str">
        <f>IF(AND('Mapa final'!$AB$141="Muy Baja",'Mapa final'!$AD$141="Mayor"),CONCATENATE("R46C",'Mapa final'!$R$141),"")</f>
        <v/>
      </c>
      <c r="V251" s="45" t="str">
        <f>IF(AND('Mapa final'!$AB$139="Muy Baja",'Mapa final'!$AD$139="Catastrófico"),CONCATENATE("R46C",'Mapa final'!$R$139),"")</f>
        <v/>
      </c>
      <c r="W251" s="46" t="str">
        <f>IF(AND('Mapa final'!$AB$140="Muy Baja",'Mapa final'!$AD$140="Catastrófico"),CONCATENATE("R46C",'Mapa final'!$R$140),"")</f>
        <v/>
      </c>
      <c r="X251" s="114" t="str">
        <f>IF(AND('Mapa final'!$AB$141="Muy Baja",'Mapa final'!$AD$141="Catastrófico"),CONCATENATE("R46C",'Mapa final'!$R$141),"")</f>
        <v/>
      </c>
      <c r="Y251" s="58"/>
      <c r="Z251" s="58"/>
      <c r="AA251" s="58"/>
      <c r="AB251" s="58"/>
      <c r="AC251" s="58"/>
      <c r="AD251" s="58"/>
      <c r="AE251" s="58"/>
      <c r="AF251" s="58"/>
      <c r="AG251" s="58"/>
      <c r="AH251" s="58"/>
      <c r="AI251" s="58"/>
      <c r="AJ251" s="58"/>
      <c r="AK251" s="58"/>
      <c r="AL251" s="58"/>
      <c r="AM251" s="58"/>
      <c r="AN251" s="58"/>
      <c r="AO251" s="58"/>
      <c r="AP251" s="58"/>
      <c r="AQ251" s="58"/>
      <c r="AR251" s="58"/>
      <c r="AS251" s="58"/>
      <c r="AT251" s="58"/>
      <c r="AU251" s="58"/>
      <c r="AV251" s="58"/>
      <c r="AW251" s="58"/>
      <c r="AX251" s="58"/>
      <c r="AY251" s="58"/>
      <c r="AZ251" s="58"/>
      <c r="BA251" s="58"/>
      <c r="BB251" s="58"/>
      <c r="BC251" s="58"/>
      <c r="BD251" s="58"/>
      <c r="BE251" s="58"/>
      <c r="BF251" s="58"/>
      <c r="BG251" s="58"/>
      <c r="BH251" s="58"/>
      <c r="BI251" s="58"/>
      <c r="BJ251" s="58"/>
      <c r="BK251" s="58"/>
      <c r="BL251" s="58"/>
      <c r="BM251" s="58"/>
    </row>
    <row r="252" spans="1:65" ht="15" customHeight="1" x14ac:dyDescent="0.25">
      <c r="A252" s="58"/>
      <c r="B252" s="356"/>
      <c r="C252" s="356"/>
      <c r="D252" s="357"/>
      <c r="E252" s="371"/>
      <c r="F252" s="372"/>
      <c r="G252" s="372"/>
      <c r="H252" s="372"/>
      <c r="I252" s="370"/>
      <c r="J252" s="129" t="str">
        <f>IF(AND('Mapa final'!$AB$142="Muy Baja",'Mapa final'!$AD$142="Leve"),CONCATENATE("R47C",'Mapa final'!$R$142),"")</f>
        <v/>
      </c>
      <c r="K252" s="56" t="str">
        <f>IF(AND('Mapa final'!$AB$143="Muy Baja",'Mapa final'!$AD$143="Leve"),CONCATENATE("R47C",'Mapa final'!$R$143),"")</f>
        <v/>
      </c>
      <c r="L252" s="130" t="str">
        <f>IF(AND('Mapa final'!$AB$144="Muy Baja",'Mapa final'!$AD$144="Leve"),CONCATENATE("R47C",'Mapa final'!$R$144),"")</f>
        <v/>
      </c>
      <c r="M252" s="129" t="str">
        <f>IF(AND('Mapa final'!$AB$142="Muy Baja",'Mapa final'!$AD$142="Menor"),CONCATENATE("R47C",'Mapa final'!$R$142),"")</f>
        <v/>
      </c>
      <c r="N252" s="56" t="str">
        <f>IF(AND('Mapa final'!$AB$143="Muy Baja",'Mapa final'!$AD$143="Menor"),CONCATENATE("R47C",'Mapa final'!$R$143),"")</f>
        <v/>
      </c>
      <c r="O252" s="130" t="str">
        <f>IF(AND('Mapa final'!$AB$144="Muy Baja",'Mapa final'!$AD$144="Menor"),CONCATENATE("R47C",'Mapa final'!$R$144),"")</f>
        <v/>
      </c>
      <c r="P252" s="51" t="str">
        <f>IF(AND('Mapa final'!$AB$142="Muy Baja",'Mapa final'!$AD$142="Moderado"),CONCATENATE("R47C",'Mapa final'!$R$142),"")</f>
        <v/>
      </c>
      <c r="Q252" s="52" t="str">
        <f>IF(AND('Mapa final'!$AB$143="Muy Baja",'Mapa final'!$AD$143="Moderado"),CONCATENATE("R47C",'Mapa final'!$R$143),"")</f>
        <v/>
      </c>
      <c r="R252" s="125" t="str">
        <f>IF(AND('Mapa final'!$AB$144="Muy Baja",'Mapa final'!$AD$144="Moderado"),CONCATENATE("R47C",'Mapa final'!$R$144),"")</f>
        <v/>
      </c>
      <c r="S252" s="119" t="str">
        <f>IF(AND('Mapa final'!$AB$142="Muy Baja",'Mapa final'!$AD$142="Mayor"),CONCATENATE("R47C",'Mapa final'!$R$142),"")</f>
        <v/>
      </c>
      <c r="T252" s="44" t="str">
        <f>IF(AND('Mapa final'!$AB$143="Muy Baja",'Mapa final'!$AD$143="Mayor"),CONCATENATE("R47C",'Mapa final'!$R$143),"")</f>
        <v/>
      </c>
      <c r="U252" s="120" t="str">
        <f>IF(AND('Mapa final'!$AB$144="Muy Baja",'Mapa final'!$AD$144="Mayor"),CONCATENATE("R47C",'Mapa final'!$R$144),"")</f>
        <v/>
      </c>
      <c r="V252" s="45" t="str">
        <f>IF(AND('Mapa final'!$AB$142="Muy Baja",'Mapa final'!$AD$142="Catastrófico"),CONCATENATE("R47C",'Mapa final'!$R$142),"")</f>
        <v/>
      </c>
      <c r="W252" s="46" t="str">
        <f>IF(AND('Mapa final'!$AB$143="Muy Baja",'Mapa final'!$AD$143="Catastrófico"),CONCATENATE("R47C",'Mapa final'!$R$143),"")</f>
        <v/>
      </c>
      <c r="X252" s="114" t="str">
        <f>IF(AND('Mapa final'!$AB$144="Muy Baja",'Mapa final'!$AD$144="Catastrófico"),CONCATENATE("R47C",'Mapa final'!$R$144),"")</f>
        <v/>
      </c>
      <c r="Y252" s="58"/>
      <c r="Z252" s="58"/>
      <c r="AA252" s="58"/>
      <c r="AB252" s="58"/>
      <c r="AC252" s="58"/>
      <c r="AD252" s="58"/>
      <c r="AE252" s="58"/>
      <c r="AF252" s="58"/>
      <c r="AG252" s="58"/>
      <c r="AH252" s="58"/>
      <c r="AI252" s="58"/>
      <c r="AJ252" s="58"/>
      <c r="AK252" s="58"/>
      <c r="AL252" s="58"/>
      <c r="AM252" s="58"/>
      <c r="AN252" s="58"/>
      <c r="AO252" s="58"/>
      <c r="AP252" s="58"/>
      <c r="AQ252" s="58"/>
      <c r="AR252" s="58"/>
      <c r="AS252" s="58"/>
      <c r="AT252" s="58"/>
      <c r="AU252" s="58"/>
      <c r="AV252" s="58"/>
      <c r="AW252" s="58"/>
      <c r="AX252" s="58"/>
      <c r="AY252" s="58"/>
      <c r="AZ252" s="58"/>
      <c r="BA252" s="58"/>
      <c r="BB252" s="58"/>
      <c r="BC252" s="58"/>
      <c r="BD252" s="58"/>
      <c r="BE252" s="58"/>
      <c r="BF252" s="58"/>
      <c r="BG252" s="58"/>
      <c r="BH252" s="58"/>
      <c r="BI252" s="58"/>
      <c r="BJ252" s="58"/>
      <c r="BK252" s="58"/>
      <c r="BL252" s="58"/>
      <c r="BM252" s="58"/>
    </row>
    <row r="253" spans="1:65" ht="15" customHeight="1" x14ac:dyDescent="0.25">
      <c r="A253" s="58"/>
      <c r="B253" s="356"/>
      <c r="C253" s="356"/>
      <c r="D253" s="357"/>
      <c r="E253" s="371"/>
      <c r="F253" s="372"/>
      <c r="G253" s="372"/>
      <c r="H253" s="372"/>
      <c r="I253" s="370"/>
      <c r="J253" s="129" t="str">
        <f>IF(AND('Mapa final'!$AB$145="Muy Baja",'Mapa final'!$AD$145="Leve"),CONCATENATE("R48C",'Mapa final'!$R$145),"")</f>
        <v/>
      </c>
      <c r="K253" s="56" t="str">
        <f>IF(AND('Mapa final'!$AB$146="Muy Baja",'Mapa final'!$AD$146="Leve"),CONCATENATE("R48C",'Mapa final'!$R$146),"")</f>
        <v/>
      </c>
      <c r="L253" s="130" t="str">
        <f>IF(AND('Mapa final'!$AB$147="Muy Baja",'Mapa final'!$AD$147="Leve"),CONCATENATE("R48C",'Mapa final'!$R$147),"")</f>
        <v/>
      </c>
      <c r="M253" s="129" t="str">
        <f>IF(AND('Mapa final'!$AB$145="Muy Baja",'Mapa final'!$AD$145="Menor"),CONCATENATE("R48C",'Mapa final'!$R$145),"")</f>
        <v/>
      </c>
      <c r="N253" s="56" t="str">
        <f>IF(AND('Mapa final'!$AB$146="Muy Baja",'Mapa final'!$AD$146="Menor"),CONCATENATE("R48C",'Mapa final'!$R$146),"")</f>
        <v/>
      </c>
      <c r="O253" s="130" t="str">
        <f>IF(AND('Mapa final'!$AB$147="Muy Baja",'Mapa final'!$AD$147="Menor"),CONCATENATE("R48C",'Mapa final'!$R$147),"")</f>
        <v/>
      </c>
      <c r="P253" s="51" t="str">
        <f>IF(AND('Mapa final'!$AB$145="Muy Baja",'Mapa final'!$AD$145="Moderado"),CONCATENATE("R48C",'Mapa final'!$R$145),"")</f>
        <v/>
      </c>
      <c r="Q253" s="52" t="str">
        <f>IF(AND('Mapa final'!$AB$146="Muy Baja",'Mapa final'!$AD$146="Moderado"),CONCATENATE("R48C",'Mapa final'!$R$146),"")</f>
        <v/>
      </c>
      <c r="R253" s="125" t="str">
        <f>IF(AND('Mapa final'!$AB$147="Muy Baja",'Mapa final'!$AD$147="Moderado"),CONCATENATE("R48C",'Mapa final'!$R$147),"")</f>
        <v/>
      </c>
      <c r="S253" s="119" t="str">
        <f>IF(AND('Mapa final'!$AB$145="Muy Baja",'Mapa final'!$AD$145="Mayor"),CONCATENATE("R48C",'Mapa final'!$R$145),"")</f>
        <v/>
      </c>
      <c r="T253" s="44" t="str">
        <f>IF(AND('Mapa final'!$AB$146="Muy Baja",'Mapa final'!$AD$146="Mayor"),CONCATENATE("R48C",'Mapa final'!$R$146),"")</f>
        <v/>
      </c>
      <c r="U253" s="120" t="str">
        <f>IF(AND('Mapa final'!$AB$147="Muy Baja",'Mapa final'!$AD$147="Mayor"),CONCATENATE("R48C",'Mapa final'!$R$147),"")</f>
        <v/>
      </c>
      <c r="V253" s="45" t="str">
        <f>IF(AND('Mapa final'!$AB$145="Muy Baja",'Mapa final'!$AD$145="Catastrófico"),CONCATENATE("R48C",'Mapa final'!$R$145),"")</f>
        <v/>
      </c>
      <c r="W253" s="46" t="str">
        <f>IF(AND('Mapa final'!$AB$146="Muy Baja",'Mapa final'!$AD$146="Catastrófico"),CONCATENATE("R48C",'Mapa final'!$R$146),"")</f>
        <v/>
      </c>
      <c r="X253" s="114" t="str">
        <f>IF(AND('Mapa final'!$AB$147="Muy Baja",'Mapa final'!$AD$147="Catastrófico"),CONCATENATE("R48C",'Mapa final'!$R$147),"")</f>
        <v/>
      </c>
      <c r="Y253" s="58"/>
      <c r="Z253" s="58"/>
      <c r="AA253" s="58"/>
      <c r="AB253" s="58"/>
      <c r="AC253" s="58"/>
      <c r="AD253" s="58"/>
      <c r="AE253" s="58"/>
      <c r="AF253" s="58"/>
      <c r="AG253" s="58"/>
      <c r="AH253" s="58"/>
      <c r="AI253" s="58"/>
      <c r="AJ253" s="58"/>
      <c r="AK253" s="58"/>
      <c r="AL253" s="58"/>
      <c r="AM253" s="58"/>
      <c r="AN253" s="58"/>
      <c r="AO253" s="58"/>
      <c r="AP253" s="58"/>
      <c r="AQ253" s="58"/>
      <c r="AR253" s="58"/>
      <c r="AS253" s="58"/>
      <c r="AT253" s="58"/>
      <c r="AU253" s="58"/>
      <c r="AV253" s="58"/>
      <c r="AW253" s="58"/>
      <c r="AX253" s="58"/>
      <c r="AY253" s="58"/>
      <c r="AZ253" s="58"/>
      <c r="BA253" s="58"/>
      <c r="BB253" s="58"/>
      <c r="BC253" s="58"/>
      <c r="BD253" s="58"/>
      <c r="BE253" s="58"/>
      <c r="BF253" s="58"/>
      <c r="BG253" s="58"/>
      <c r="BH253" s="58"/>
      <c r="BI253" s="58"/>
      <c r="BJ253" s="58"/>
      <c r="BK253" s="58"/>
      <c r="BL253" s="58"/>
      <c r="BM253" s="58"/>
    </row>
    <row r="254" spans="1:65" ht="15" customHeight="1" x14ac:dyDescent="0.25">
      <c r="A254" s="58"/>
      <c r="B254" s="356"/>
      <c r="C254" s="356"/>
      <c r="D254" s="357"/>
      <c r="E254" s="371"/>
      <c r="F254" s="372"/>
      <c r="G254" s="372"/>
      <c r="H254" s="372"/>
      <c r="I254" s="370"/>
      <c r="J254" s="129" t="str">
        <f>IF(AND('Mapa final'!$AB$148="Muy Baja",'Mapa final'!$AD$148="Leve"),CONCATENATE("R49C",'Mapa final'!$R$148),"")</f>
        <v/>
      </c>
      <c r="K254" s="56" t="str">
        <f>IF(AND('Mapa final'!$AB$149="Muy Baja",'Mapa final'!$AD$149="Leve"),CONCATENATE("R49C",'Mapa final'!$R$149),"")</f>
        <v/>
      </c>
      <c r="L254" s="130" t="str">
        <f>IF(AND('Mapa final'!$AB$150="Muy Baja",'Mapa final'!$AD$150="Leve"),CONCATENATE("R49C",'Mapa final'!$R$150),"")</f>
        <v/>
      </c>
      <c r="M254" s="129" t="str">
        <f>IF(AND('Mapa final'!$AB$148="Muy Baja",'Mapa final'!$AD$148="Menor"),CONCATENATE("R49C",'Mapa final'!$R$148),"")</f>
        <v/>
      </c>
      <c r="N254" s="56" t="str">
        <f>IF(AND('Mapa final'!$AB$149="Muy Baja",'Mapa final'!$AD$149="Menor"),CONCATENATE("R49C",'Mapa final'!$R$149),"")</f>
        <v/>
      </c>
      <c r="O254" s="130" t="str">
        <f>IF(AND('Mapa final'!$AB$150="Muy Baja",'Mapa final'!$AD$150="Menor"),CONCATENATE("R49C",'Mapa final'!$R$150),"")</f>
        <v/>
      </c>
      <c r="P254" s="51" t="str">
        <f>IF(AND('Mapa final'!$AB$148="Muy Baja",'Mapa final'!$AD$148="Moderado"),CONCATENATE("R49C",'Mapa final'!$R$148),"")</f>
        <v/>
      </c>
      <c r="Q254" s="52" t="str">
        <f>IF(AND('Mapa final'!$AB$149="Muy Baja",'Mapa final'!$AD$149="Moderado"),CONCATENATE("R49C",'Mapa final'!$R$149),"")</f>
        <v/>
      </c>
      <c r="R254" s="125" t="str">
        <f>IF(AND('Mapa final'!$AB$150="Muy Baja",'Mapa final'!$AD$150="Moderado"),CONCATENATE("R49C",'Mapa final'!$R$150),"")</f>
        <v/>
      </c>
      <c r="S254" s="119" t="str">
        <f>IF(AND('Mapa final'!$AB$148="Muy Baja",'Mapa final'!$AD$148="Mayor"),CONCATENATE("R49C",'Mapa final'!$R$148),"")</f>
        <v/>
      </c>
      <c r="T254" s="44" t="str">
        <f>IF(AND('Mapa final'!$AB$149="Muy Baja",'Mapa final'!$AD$149="Mayor"),CONCATENATE("R49C",'Mapa final'!$R$149),"")</f>
        <v/>
      </c>
      <c r="U254" s="120" t="str">
        <f>IF(AND('Mapa final'!$AB$150="Muy Baja",'Mapa final'!$AD$150="Mayor"),CONCATENATE("R49C",'Mapa final'!$R$150),"")</f>
        <v/>
      </c>
      <c r="V254" s="45" t="str">
        <f>IF(AND('Mapa final'!$AB$148="Muy Baja",'Mapa final'!$AD$148="Catastrófico"),CONCATENATE("R49C",'Mapa final'!$R$148),"")</f>
        <v/>
      </c>
      <c r="W254" s="46" t="str">
        <f>IF(AND('Mapa final'!$AB$149="Muy Baja",'Mapa final'!$AD$149="Catastrófico"),CONCATENATE("R49C",'Mapa final'!$R$149),"")</f>
        <v/>
      </c>
      <c r="X254" s="114" t="str">
        <f>IF(AND('Mapa final'!$AB$150="Muy Baja",'Mapa final'!$AD$150="Catastrófico"),CONCATENATE("R49C",'Mapa final'!$R$150),"")</f>
        <v/>
      </c>
      <c r="Y254" s="58"/>
      <c r="Z254" s="58"/>
      <c r="AA254" s="58"/>
      <c r="AB254" s="58"/>
      <c r="AC254" s="58"/>
      <c r="AD254" s="58"/>
      <c r="AE254" s="58"/>
      <c r="AF254" s="58"/>
      <c r="AG254" s="58"/>
      <c r="AH254" s="58"/>
      <c r="AI254" s="58"/>
      <c r="AJ254" s="58"/>
      <c r="AK254" s="58"/>
      <c r="AL254" s="58"/>
      <c r="AM254" s="58"/>
      <c r="AN254" s="58"/>
      <c r="AO254" s="58"/>
      <c r="AP254" s="58"/>
      <c r="AQ254" s="58"/>
      <c r="AR254" s="58"/>
      <c r="AS254" s="58"/>
      <c r="AT254" s="58"/>
      <c r="AU254" s="58"/>
      <c r="AV254" s="58"/>
      <c r="AW254" s="58"/>
      <c r="AX254" s="58"/>
      <c r="AY254" s="58"/>
      <c r="AZ254" s="58"/>
      <c r="BA254" s="58"/>
      <c r="BB254" s="58"/>
      <c r="BC254" s="58"/>
      <c r="BD254" s="58"/>
      <c r="BE254" s="58"/>
      <c r="BF254" s="58"/>
      <c r="BG254" s="58"/>
      <c r="BH254" s="58"/>
      <c r="BI254" s="58"/>
      <c r="BJ254" s="58"/>
      <c r="BK254" s="58"/>
      <c r="BL254" s="58"/>
      <c r="BM254" s="58"/>
    </row>
    <row r="255" spans="1:65" ht="15.75" customHeight="1" thickBot="1" x14ac:dyDescent="0.3">
      <c r="A255" s="58"/>
      <c r="B255" s="356"/>
      <c r="C255" s="356"/>
      <c r="D255" s="357"/>
      <c r="E255" s="373"/>
      <c r="F255" s="374"/>
      <c r="G255" s="374"/>
      <c r="H255" s="374"/>
      <c r="I255" s="374"/>
      <c r="J255" s="131" t="str">
        <f>IF(AND('Mapa final'!$AB$151="Muy Baja",'Mapa final'!$AD$151="Leve"),CONCATENATE("R50C",'Mapa final'!$R$151),"")</f>
        <v/>
      </c>
      <c r="K255" s="57" t="str">
        <f>IF(AND('Mapa final'!$AB$152="Muy Baja",'Mapa final'!$AD$152="Leve"),CONCATENATE("R50C",'Mapa final'!$R$152),"")</f>
        <v/>
      </c>
      <c r="L255" s="132" t="str">
        <f>IF(AND('Mapa final'!$AB$153="Muy Baja",'Mapa final'!$AD$153="Leve"),CONCATENATE("R50C",'Mapa final'!$R$153),"")</f>
        <v/>
      </c>
      <c r="M255" s="131" t="str">
        <f>IF(AND('Mapa final'!$AB$151="Muy Baja",'Mapa final'!$AD$151="Menor"),CONCATENATE("R50C",'Mapa final'!$R$151),"")</f>
        <v/>
      </c>
      <c r="N255" s="57" t="str">
        <f>IF(AND('Mapa final'!$AB$152="Muy Baja",'Mapa final'!$AD$152="Menor"),CONCATENATE("R50C",'Mapa final'!$R$152),"")</f>
        <v/>
      </c>
      <c r="O255" s="132" t="str">
        <f>IF(AND('Mapa final'!$AB$153="Muy Baja",'Mapa final'!$AD$153="Menor"),CONCATENATE("R50C",'Mapa final'!$R$153),"")</f>
        <v/>
      </c>
      <c r="P255" s="53" t="str">
        <f>IF(AND('Mapa final'!$AB$151="Muy Baja",'Mapa final'!$AD$151="Moderado"),CONCATENATE("R50C",'Mapa final'!$R$151),"")</f>
        <v/>
      </c>
      <c r="Q255" s="54" t="str">
        <f>IF(AND('Mapa final'!$AB$152="Muy Baja",'Mapa final'!$AD$152="Moderado"),CONCATENATE("R50C",'Mapa final'!$R$152),"")</f>
        <v/>
      </c>
      <c r="R255" s="126" t="str">
        <f>IF(AND('Mapa final'!$AB$153="Muy Baja",'Mapa final'!$AD$153="Moderado"),CONCATENATE("R50C",'Mapa final'!$R$153),"")</f>
        <v/>
      </c>
      <c r="S255" s="121" t="str">
        <f>IF(AND('Mapa final'!$AB$151="Muy Baja",'Mapa final'!$AD$151="Mayor"),CONCATENATE("R50C",'Mapa final'!$R$151),"")</f>
        <v/>
      </c>
      <c r="T255" s="122" t="str">
        <f>IF(AND('Mapa final'!$AB$152="Muy Baja",'Mapa final'!$AD$152="Mayor"),CONCATENATE("R50C",'Mapa final'!$R$152),"")</f>
        <v/>
      </c>
      <c r="U255" s="123" t="str">
        <f>IF(AND('Mapa final'!$AB$153="Muy Baja",'Mapa final'!$AD$153="Mayor"),CONCATENATE("R50C",'Mapa final'!$R$153),"")</f>
        <v/>
      </c>
      <c r="V255" s="45" t="str">
        <f>IF(AND('Mapa final'!$AB$151="Muy Baja",'Mapa final'!$AD$151="Catastrófico"),CONCATENATE("R50C",'Mapa final'!$R$151),"")</f>
        <v/>
      </c>
      <c r="W255" s="46" t="str">
        <f>IF(AND('Mapa final'!$AB$152="Muy Baja",'Mapa final'!$AD$152="Catastrófico"),CONCATENATE("R50C",'Mapa final'!$R$152),"")</f>
        <v/>
      </c>
      <c r="X255" s="114" t="str">
        <f>IF(AND('Mapa final'!$AB$153="Muy Baja",'Mapa final'!$AD$153="Catastrófico"),CONCATENATE("R50C",'Mapa final'!$R$153),"")</f>
        <v/>
      </c>
      <c r="Y255" s="58"/>
      <c r="Z255" s="58"/>
      <c r="AA255" s="58"/>
      <c r="AB255" s="58"/>
      <c r="AC255" s="58"/>
      <c r="AD255" s="58"/>
      <c r="AE255" s="58"/>
      <c r="AF255" s="58"/>
      <c r="AG255" s="58"/>
      <c r="AH255" s="58"/>
      <c r="AI255" s="58"/>
      <c r="AJ255" s="58"/>
      <c r="AK255" s="58"/>
      <c r="AL255" s="58"/>
      <c r="AM255" s="58"/>
      <c r="AN255" s="58"/>
      <c r="AO255" s="58"/>
      <c r="AP255" s="58"/>
      <c r="AQ255" s="58"/>
      <c r="AR255" s="58"/>
      <c r="AS255" s="58"/>
      <c r="AT255" s="58"/>
      <c r="AU255" s="58"/>
      <c r="AV255" s="58"/>
      <c r="AW255" s="58"/>
      <c r="AX255" s="58"/>
      <c r="AY255" s="58"/>
      <c r="AZ255" s="58"/>
      <c r="BA255" s="58"/>
      <c r="BB255" s="58"/>
      <c r="BC255" s="58"/>
      <c r="BD255" s="58"/>
      <c r="BE255" s="58"/>
      <c r="BF255" s="58"/>
      <c r="BG255" s="58"/>
      <c r="BH255" s="58"/>
      <c r="BI255" s="58"/>
      <c r="BJ255" s="58"/>
      <c r="BK255" s="58"/>
      <c r="BL255" s="58"/>
      <c r="BM255" s="58"/>
    </row>
    <row r="256" spans="1:65" x14ac:dyDescent="0.25">
      <c r="A256" s="58"/>
      <c r="B256" s="58"/>
      <c r="C256" s="58"/>
      <c r="D256" s="58"/>
      <c r="E256" s="58"/>
      <c r="F256" s="58"/>
      <c r="G256" s="58"/>
      <c r="H256" s="58"/>
      <c r="I256" s="58"/>
      <c r="J256" s="404" t="s">
        <v>106</v>
      </c>
      <c r="K256" s="370"/>
      <c r="L256" s="370"/>
      <c r="M256" s="369" t="s">
        <v>105</v>
      </c>
      <c r="N256" s="370"/>
      <c r="O256" s="370"/>
      <c r="P256" s="369" t="s">
        <v>104</v>
      </c>
      <c r="Q256" s="370"/>
      <c r="R256" s="370"/>
      <c r="S256" s="369" t="s">
        <v>103</v>
      </c>
      <c r="T256" s="409"/>
      <c r="U256" s="370"/>
      <c r="V256" s="369" t="s">
        <v>102</v>
      </c>
      <c r="W256" s="370"/>
      <c r="X256" s="410"/>
      <c r="Y256" s="58"/>
      <c r="Z256" s="58"/>
      <c r="AA256" s="58"/>
      <c r="AB256" s="58"/>
      <c r="AC256" s="58"/>
      <c r="AD256" s="58"/>
      <c r="AE256" s="58"/>
      <c r="AF256" s="58"/>
      <c r="AG256" s="58"/>
      <c r="AH256" s="58"/>
      <c r="AI256" s="58"/>
      <c r="AJ256" s="58"/>
      <c r="AK256" s="58"/>
      <c r="AL256" s="58"/>
      <c r="AM256" s="58"/>
      <c r="AN256" s="58"/>
      <c r="AO256" s="58"/>
      <c r="AP256" s="58"/>
      <c r="AQ256" s="58"/>
      <c r="AR256" s="58"/>
      <c r="AS256" s="58"/>
      <c r="AT256" s="58"/>
      <c r="AU256" s="58"/>
      <c r="AV256" s="58"/>
      <c r="AW256" s="58"/>
      <c r="AX256" s="58"/>
      <c r="AY256" s="58"/>
      <c r="AZ256" s="58"/>
      <c r="BA256" s="58"/>
      <c r="BB256" s="58"/>
      <c r="BC256" s="58"/>
      <c r="BD256" s="58"/>
      <c r="BE256" s="58"/>
      <c r="BF256" s="58"/>
      <c r="BG256" s="58"/>
      <c r="BH256" s="58"/>
      <c r="BI256" s="58"/>
      <c r="BJ256" s="58"/>
      <c r="BK256" s="58"/>
      <c r="BL256" s="58"/>
      <c r="BM256" s="58"/>
    </row>
    <row r="257" spans="1:65" x14ac:dyDescent="0.25">
      <c r="A257" s="58"/>
      <c r="B257" s="58"/>
      <c r="C257" s="58"/>
      <c r="D257" s="58"/>
      <c r="E257" s="58"/>
      <c r="F257" s="58"/>
      <c r="G257" s="58"/>
      <c r="H257" s="58"/>
      <c r="I257" s="58"/>
      <c r="J257" s="405"/>
      <c r="K257" s="370"/>
      <c r="L257" s="370"/>
      <c r="M257" s="371"/>
      <c r="N257" s="370"/>
      <c r="O257" s="370"/>
      <c r="P257" s="371"/>
      <c r="Q257" s="370"/>
      <c r="R257" s="370"/>
      <c r="S257" s="371"/>
      <c r="T257" s="370"/>
      <c r="U257" s="370"/>
      <c r="V257" s="371"/>
      <c r="W257" s="370"/>
      <c r="X257" s="410"/>
      <c r="Y257" s="58"/>
      <c r="Z257" s="58"/>
      <c r="AA257" s="58"/>
      <c r="AB257" s="58"/>
      <c r="AC257" s="58"/>
      <c r="AD257" s="58"/>
      <c r="AE257" s="58"/>
      <c r="AF257" s="58"/>
      <c r="AG257" s="58"/>
      <c r="AH257" s="58"/>
      <c r="AI257" s="58"/>
      <c r="AJ257" s="58"/>
      <c r="AK257" s="58"/>
      <c r="AL257" s="58"/>
      <c r="AM257" s="58"/>
      <c r="AN257" s="58"/>
      <c r="AO257" s="58"/>
      <c r="AP257" s="58"/>
      <c r="AQ257" s="58"/>
      <c r="AR257" s="58"/>
      <c r="AS257" s="58"/>
      <c r="AT257" s="58"/>
      <c r="AU257" s="58"/>
      <c r="AV257" s="58"/>
      <c r="AW257" s="58"/>
      <c r="AX257" s="58"/>
      <c r="AY257" s="58"/>
      <c r="AZ257" s="58"/>
      <c r="BA257" s="58"/>
      <c r="BB257" s="58"/>
      <c r="BC257" s="58"/>
      <c r="BD257" s="58"/>
      <c r="BE257" s="58"/>
      <c r="BF257" s="58"/>
      <c r="BG257" s="58"/>
      <c r="BH257" s="58"/>
      <c r="BI257" s="58"/>
      <c r="BJ257" s="58"/>
      <c r="BK257" s="58"/>
      <c r="BL257" s="58"/>
      <c r="BM257" s="58"/>
    </row>
    <row r="258" spans="1:65" x14ac:dyDescent="0.25">
      <c r="A258" s="58"/>
      <c r="B258" s="58"/>
      <c r="C258" s="58"/>
      <c r="D258" s="58"/>
      <c r="E258" s="58"/>
      <c r="F258" s="58"/>
      <c r="G258" s="58"/>
      <c r="H258" s="58"/>
      <c r="I258" s="58"/>
      <c r="J258" s="405"/>
      <c r="K258" s="370"/>
      <c r="L258" s="370"/>
      <c r="M258" s="371"/>
      <c r="N258" s="370"/>
      <c r="O258" s="370"/>
      <c r="P258" s="371"/>
      <c r="Q258" s="370"/>
      <c r="R258" s="370"/>
      <c r="S258" s="371"/>
      <c r="T258" s="370"/>
      <c r="U258" s="370"/>
      <c r="V258" s="371"/>
      <c r="W258" s="370"/>
      <c r="X258" s="410"/>
      <c r="Y258" s="58"/>
      <c r="Z258" s="58"/>
      <c r="AA258" s="58"/>
      <c r="AB258" s="58"/>
      <c r="AC258" s="58"/>
      <c r="AD258" s="58"/>
      <c r="AE258" s="58"/>
      <c r="AF258" s="58"/>
      <c r="AG258" s="58"/>
      <c r="AH258" s="58"/>
      <c r="AI258" s="58"/>
      <c r="AJ258" s="58"/>
      <c r="AK258" s="58"/>
      <c r="AL258" s="58"/>
      <c r="AM258" s="58"/>
      <c r="AN258" s="58"/>
      <c r="AO258" s="58"/>
      <c r="AP258" s="58"/>
      <c r="AQ258" s="58"/>
      <c r="AR258" s="58"/>
      <c r="AS258" s="58"/>
      <c r="AT258" s="58"/>
      <c r="AU258" s="58"/>
      <c r="AV258" s="58"/>
      <c r="AW258" s="58"/>
      <c r="AX258" s="58"/>
      <c r="AY258" s="58"/>
      <c r="AZ258" s="58"/>
      <c r="BA258" s="58"/>
      <c r="BB258" s="58"/>
      <c r="BC258" s="58"/>
      <c r="BD258" s="58"/>
      <c r="BE258" s="58"/>
      <c r="BF258" s="58"/>
      <c r="BG258" s="58"/>
      <c r="BH258" s="58"/>
      <c r="BI258" s="58"/>
      <c r="BJ258" s="58"/>
      <c r="BK258" s="58"/>
      <c r="BL258" s="58"/>
      <c r="BM258" s="58"/>
    </row>
    <row r="259" spans="1:65" x14ac:dyDescent="0.25">
      <c r="A259" s="58"/>
      <c r="B259" s="58"/>
      <c r="C259" s="58"/>
      <c r="D259" s="58"/>
      <c r="E259" s="58"/>
      <c r="F259" s="58"/>
      <c r="G259" s="58"/>
      <c r="H259" s="58"/>
      <c r="I259" s="58"/>
      <c r="J259" s="405"/>
      <c r="K259" s="370"/>
      <c r="L259" s="370"/>
      <c r="M259" s="371"/>
      <c r="N259" s="370"/>
      <c r="O259" s="370"/>
      <c r="P259" s="371"/>
      <c r="Q259" s="370"/>
      <c r="R259" s="370"/>
      <c r="S259" s="371"/>
      <c r="T259" s="370"/>
      <c r="U259" s="370"/>
      <c r="V259" s="371"/>
      <c r="W259" s="370"/>
      <c r="X259" s="410"/>
      <c r="Y259" s="58"/>
      <c r="Z259" s="58"/>
      <c r="AA259" s="58"/>
      <c r="AB259" s="58"/>
      <c r="AC259" s="58"/>
      <c r="AD259" s="58"/>
      <c r="AE259" s="58"/>
      <c r="AF259" s="58"/>
      <c r="AG259" s="58"/>
      <c r="AH259" s="58"/>
      <c r="AI259" s="58"/>
      <c r="AJ259" s="58"/>
      <c r="AK259" s="58"/>
      <c r="AL259" s="58"/>
      <c r="AM259" s="58"/>
      <c r="AN259" s="58"/>
      <c r="AO259" s="58"/>
      <c r="AP259" s="58"/>
      <c r="AQ259" s="58"/>
      <c r="AR259" s="58"/>
      <c r="AS259" s="58"/>
      <c r="AT259" s="58"/>
      <c r="AU259" s="58"/>
      <c r="AV259" s="58"/>
      <c r="AW259" s="58"/>
      <c r="AX259" s="58"/>
      <c r="AY259" s="58"/>
      <c r="AZ259" s="58"/>
      <c r="BA259" s="58"/>
      <c r="BB259" s="58"/>
      <c r="BC259" s="58"/>
      <c r="BD259" s="58"/>
      <c r="BE259" s="58"/>
      <c r="BF259" s="58"/>
      <c r="BG259" s="58"/>
      <c r="BH259" s="58"/>
      <c r="BI259" s="58"/>
      <c r="BJ259" s="58"/>
      <c r="BK259" s="58"/>
      <c r="BL259" s="58"/>
      <c r="BM259" s="58"/>
    </row>
    <row r="260" spans="1:65" x14ac:dyDescent="0.25">
      <c r="A260" s="58"/>
      <c r="B260" s="58"/>
      <c r="C260" s="58"/>
      <c r="D260" s="58"/>
      <c r="E260" s="58"/>
      <c r="F260" s="58"/>
      <c r="G260" s="58"/>
      <c r="H260" s="58"/>
      <c r="I260" s="58"/>
      <c r="J260" s="405"/>
      <c r="K260" s="370"/>
      <c r="L260" s="370"/>
      <c r="M260" s="371"/>
      <c r="N260" s="370"/>
      <c r="O260" s="370"/>
      <c r="P260" s="371"/>
      <c r="Q260" s="370"/>
      <c r="R260" s="370"/>
      <c r="S260" s="371"/>
      <c r="T260" s="370"/>
      <c r="U260" s="370"/>
      <c r="V260" s="371"/>
      <c r="W260" s="370"/>
      <c r="X260" s="410"/>
      <c r="Y260" s="58"/>
      <c r="Z260" s="58"/>
      <c r="AA260" s="58"/>
      <c r="AB260" s="58"/>
      <c r="AC260" s="58"/>
      <c r="AD260" s="58"/>
      <c r="AE260" s="58"/>
      <c r="AF260" s="58"/>
      <c r="AG260" s="58"/>
      <c r="AH260" s="58"/>
      <c r="AI260" s="58"/>
      <c r="AJ260" s="58"/>
      <c r="AK260" s="58"/>
      <c r="AL260" s="58"/>
      <c r="AM260" s="58"/>
      <c r="AN260" s="58"/>
      <c r="AO260" s="58"/>
      <c r="AP260" s="58"/>
      <c r="AQ260" s="58"/>
      <c r="AR260" s="58"/>
      <c r="AS260" s="58"/>
      <c r="AT260" s="58"/>
      <c r="AU260" s="58"/>
      <c r="AV260" s="58"/>
      <c r="AW260" s="58"/>
      <c r="AX260" s="58"/>
      <c r="AY260" s="58"/>
      <c r="AZ260" s="58"/>
      <c r="BA260" s="58"/>
      <c r="BB260" s="58"/>
      <c r="BC260" s="58"/>
      <c r="BD260" s="58"/>
      <c r="BE260" s="58"/>
      <c r="BF260" s="58"/>
      <c r="BG260" s="58"/>
      <c r="BH260" s="58"/>
      <c r="BI260" s="58"/>
      <c r="BJ260" s="58"/>
      <c r="BK260" s="58"/>
      <c r="BL260" s="58"/>
      <c r="BM260" s="58"/>
    </row>
    <row r="261" spans="1:65" ht="15.75" thickBot="1" x14ac:dyDescent="0.3">
      <c r="A261" s="58"/>
      <c r="B261" s="58"/>
      <c r="C261" s="58"/>
      <c r="D261" s="58"/>
      <c r="E261" s="58"/>
      <c r="F261" s="58"/>
      <c r="G261" s="58"/>
      <c r="H261" s="58"/>
      <c r="I261" s="58"/>
      <c r="J261" s="406"/>
      <c r="K261" s="407"/>
      <c r="L261" s="407"/>
      <c r="M261" s="408"/>
      <c r="N261" s="407"/>
      <c r="O261" s="407"/>
      <c r="P261" s="408"/>
      <c r="Q261" s="407"/>
      <c r="R261" s="407"/>
      <c r="S261" s="408"/>
      <c r="T261" s="407"/>
      <c r="U261" s="407"/>
      <c r="V261" s="408"/>
      <c r="W261" s="407"/>
      <c r="X261" s="411"/>
      <c r="Y261" s="58"/>
      <c r="Z261" s="58"/>
      <c r="AA261" s="58"/>
      <c r="AB261" s="58"/>
      <c r="AC261" s="58"/>
      <c r="AD261" s="58"/>
      <c r="AE261" s="58"/>
      <c r="AF261" s="58"/>
      <c r="AG261" s="58"/>
      <c r="AH261" s="58"/>
      <c r="AI261" s="58"/>
      <c r="AJ261" s="58"/>
      <c r="AK261" s="58"/>
      <c r="AL261" s="58"/>
      <c r="AM261" s="58"/>
      <c r="AN261" s="58"/>
      <c r="AO261" s="58"/>
      <c r="AP261" s="58"/>
      <c r="AQ261" s="58"/>
      <c r="AR261" s="58"/>
      <c r="AS261" s="58"/>
      <c r="AT261" s="58"/>
      <c r="AU261" s="58"/>
      <c r="AV261" s="58"/>
      <c r="AW261" s="58"/>
      <c r="AX261" s="58"/>
      <c r="AY261" s="58"/>
      <c r="AZ261" s="58"/>
      <c r="BA261" s="58"/>
      <c r="BB261" s="58"/>
      <c r="BC261" s="58"/>
      <c r="BD261" s="58"/>
      <c r="BE261" s="58"/>
      <c r="BF261" s="58"/>
      <c r="BG261" s="58"/>
      <c r="BH261" s="58"/>
      <c r="BI261" s="58"/>
      <c r="BJ261" s="58"/>
      <c r="BK261" s="58"/>
      <c r="BL261" s="58"/>
      <c r="BM261" s="58"/>
    </row>
    <row r="262" spans="1:65" x14ac:dyDescent="0.25">
      <c r="A262" s="58"/>
      <c r="B262" s="58"/>
      <c r="C262" s="58"/>
      <c r="D262" s="58"/>
      <c r="E262" s="58"/>
      <c r="F262" s="58"/>
      <c r="G262" s="58"/>
      <c r="H262" s="58"/>
      <c r="I262" s="58"/>
      <c r="J262" s="58"/>
      <c r="K262" s="58"/>
      <c r="L262" s="58"/>
      <c r="M262" s="58"/>
      <c r="N262" s="58"/>
      <c r="O262" s="58"/>
      <c r="P262" s="58"/>
      <c r="Q262" s="58"/>
      <c r="R262" s="58"/>
      <c r="S262" s="58"/>
      <c r="T262" s="58"/>
      <c r="U262" s="58"/>
      <c r="V262" s="58"/>
      <c r="W262" s="58"/>
      <c r="X262" s="58"/>
      <c r="Y262" s="58"/>
      <c r="Z262" s="58"/>
      <c r="AA262" s="58"/>
      <c r="AB262" s="58"/>
      <c r="AC262" s="58"/>
      <c r="AD262" s="58"/>
      <c r="AE262" s="58"/>
      <c r="AF262" s="58"/>
      <c r="AG262" s="58"/>
      <c r="AH262" s="58"/>
      <c r="AI262" s="58"/>
      <c r="AJ262" s="58"/>
      <c r="AK262" s="58"/>
      <c r="AL262" s="58"/>
      <c r="AM262" s="58"/>
      <c r="AN262" s="58"/>
      <c r="AO262" s="58"/>
      <c r="AP262" s="58"/>
      <c r="AQ262" s="58"/>
      <c r="AR262" s="58"/>
      <c r="AS262" s="58"/>
    </row>
    <row r="263" spans="1:65" ht="15" customHeight="1" x14ac:dyDescent="0.25">
      <c r="A263" s="58"/>
      <c r="B263" s="62"/>
      <c r="C263" s="62"/>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c r="AF263" s="58"/>
      <c r="AG263" s="58"/>
      <c r="AH263" s="58"/>
      <c r="AI263" s="58"/>
      <c r="AJ263" s="58"/>
      <c r="AK263" s="58"/>
      <c r="AL263" s="58"/>
      <c r="AM263" s="58"/>
      <c r="AN263" s="58"/>
      <c r="AO263" s="58"/>
      <c r="AP263" s="58"/>
      <c r="AQ263" s="58"/>
      <c r="AR263" s="58"/>
      <c r="AS263" s="58"/>
    </row>
    <row r="264" spans="1:65" ht="15" customHeight="1" x14ac:dyDescent="0.25">
      <c r="A264" s="58"/>
      <c r="B264" s="62"/>
      <c r="C264" s="62"/>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c r="AE264" s="62"/>
      <c r="AF264" s="58"/>
      <c r="AG264" s="58"/>
      <c r="AH264" s="58"/>
      <c r="AI264" s="58"/>
      <c r="AJ264" s="58"/>
      <c r="AK264" s="58"/>
      <c r="AL264" s="58"/>
      <c r="AM264" s="58"/>
      <c r="AN264" s="58"/>
      <c r="AO264" s="58"/>
      <c r="AP264" s="58"/>
      <c r="AQ264" s="58"/>
      <c r="AR264" s="58"/>
      <c r="AS264" s="58"/>
    </row>
    <row r="265" spans="1:65" x14ac:dyDescent="0.25">
      <c r="A265" s="58"/>
      <c r="B265" s="58"/>
      <c r="C265" s="58"/>
      <c r="D265" s="58"/>
      <c r="E265" s="58"/>
      <c r="F265" s="58"/>
      <c r="G265" s="58"/>
      <c r="H265" s="58"/>
      <c r="I265" s="58"/>
      <c r="J265" s="58"/>
      <c r="K265" s="58"/>
      <c r="L265" s="58"/>
      <c r="M265" s="58"/>
      <c r="N265" s="58"/>
      <c r="O265" s="58"/>
      <c r="P265" s="58"/>
      <c r="Q265" s="58"/>
      <c r="R265" s="58"/>
      <c r="S265" s="58"/>
      <c r="T265" s="58"/>
      <c r="U265" s="58"/>
      <c r="V265" s="58"/>
      <c r="W265" s="58"/>
      <c r="X265" s="58"/>
      <c r="Y265" s="58"/>
      <c r="Z265" s="58"/>
      <c r="AA265" s="58"/>
      <c r="AB265" s="58"/>
      <c r="AC265" s="58"/>
      <c r="AD265" s="58"/>
      <c r="AE265" s="58"/>
      <c r="AF265" s="58"/>
      <c r="AG265" s="58"/>
      <c r="AH265" s="58"/>
      <c r="AI265" s="58"/>
      <c r="AJ265" s="58"/>
      <c r="AK265" s="58"/>
      <c r="AL265" s="58"/>
      <c r="AM265" s="58"/>
      <c r="AN265" s="58"/>
      <c r="AO265" s="58"/>
      <c r="AP265" s="58"/>
      <c r="AQ265" s="58"/>
      <c r="AR265" s="58"/>
      <c r="AS265" s="58"/>
    </row>
    <row r="266" spans="1:65" x14ac:dyDescent="0.25">
      <c r="A266" s="58"/>
      <c r="B266" s="58"/>
      <c r="C266" s="58"/>
      <c r="D266" s="58"/>
      <c r="E266" s="58"/>
      <c r="F266" s="58"/>
      <c r="G266" s="58"/>
      <c r="H266" s="58"/>
      <c r="I266" s="58"/>
      <c r="J266" s="58"/>
      <c r="K266" s="58"/>
      <c r="L266" s="58"/>
      <c r="M266" s="58"/>
      <c r="N266" s="58"/>
      <c r="O266" s="58"/>
      <c r="P266" s="58"/>
      <c r="Q266" s="58"/>
      <c r="R266" s="58"/>
      <c r="S266" s="58"/>
      <c r="T266" s="58"/>
      <c r="U266" s="58"/>
      <c r="V266" s="58"/>
      <c r="W266" s="58"/>
      <c r="X266" s="58"/>
      <c r="Y266" s="58"/>
      <c r="Z266" s="58"/>
      <c r="AA266" s="58"/>
      <c r="AB266" s="58"/>
      <c r="AC266" s="58"/>
      <c r="AD266" s="58"/>
      <c r="AE266" s="58"/>
      <c r="AF266" s="58"/>
      <c r="AG266" s="58"/>
      <c r="AH266" s="58"/>
      <c r="AI266" s="58"/>
      <c r="AJ266" s="58"/>
      <c r="AK266" s="58"/>
      <c r="AL266" s="58"/>
      <c r="AM266" s="58"/>
      <c r="AN266" s="58"/>
      <c r="AO266" s="58"/>
      <c r="AP266" s="58"/>
      <c r="AQ266" s="58"/>
      <c r="AR266" s="58"/>
      <c r="AS266" s="58"/>
    </row>
    <row r="267" spans="1:65" x14ac:dyDescent="0.25">
      <c r="A267" s="58"/>
      <c r="B267" s="58"/>
      <c r="C267" s="58"/>
      <c r="D267" s="58"/>
      <c r="E267" s="58"/>
      <c r="F267" s="58"/>
      <c r="G267" s="58"/>
      <c r="H267" s="58"/>
      <c r="I267" s="58"/>
      <c r="J267" s="58"/>
      <c r="K267" s="58"/>
      <c r="L267" s="58"/>
      <c r="M267" s="58"/>
      <c r="N267" s="58"/>
      <c r="O267" s="58"/>
      <c r="P267" s="58"/>
      <c r="Q267" s="58"/>
      <c r="R267" s="58"/>
      <c r="S267" s="58"/>
      <c r="T267" s="58"/>
      <c r="U267" s="58"/>
      <c r="V267" s="58"/>
      <c r="W267" s="58"/>
      <c r="X267" s="58"/>
      <c r="Y267" s="58"/>
      <c r="Z267" s="58"/>
      <c r="AA267" s="58"/>
      <c r="AB267" s="58"/>
      <c r="AC267" s="58"/>
      <c r="AD267" s="58"/>
      <c r="AE267" s="58"/>
      <c r="AF267" s="58"/>
      <c r="AG267" s="58"/>
      <c r="AH267" s="58"/>
      <c r="AI267" s="58"/>
      <c r="AJ267" s="58"/>
      <c r="AK267" s="58"/>
      <c r="AL267" s="58"/>
      <c r="AM267" s="58"/>
      <c r="AN267" s="58"/>
      <c r="AO267" s="58"/>
      <c r="AP267" s="58"/>
      <c r="AQ267" s="58"/>
      <c r="AR267" s="58"/>
      <c r="AS267" s="58"/>
    </row>
    <row r="268" spans="1:65" x14ac:dyDescent="0.25">
      <c r="A268" s="58"/>
      <c r="B268" s="58"/>
      <c r="C268" s="58"/>
      <c r="D268" s="58"/>
      <c r="E268" s="58"/>
      <c r="F268" s="58"/>
      <c r="G268" s="58"/>
      <c r="H268" s="58"/>
      <c r="I268" s="58"/>
      <c r="J268" s="58"/>
      <c r="K268" s="58"/>
      <c r="L268" s="58"/>
      <c r="M268" s="58"/>
      <c r="N268" s="58"/>
      <c r="O268" s="58"/>
      <c r="P268" s="58"/>
      <c r="Q268" s="58"/>
      <c r="R268" s="58"/>
      <c r="S268" s="58"/>
      <c r="T268" s="58"/>
      <c r="U268" s="58"/>
      <c r="V268" s="58"/>
      <c r="W268" s="58"/>
      <c r="X268" s="58"/>
      <c r="Y268" s="58"/>
      <c r="Z268" s="58"/>
      <c r="AA268" s="58"/>
      <c r="AB268" s="58"/>
      <c r="AC268" s="58"/>
      <c r="AD268" s="58"/>
      <c r="AE268" s="58"/>
      <c r="AF268" s="58"/>
      <c r="AG268" s="58"/>
      <c r="AH268" s="58"/>
      <c r="AI268" s="58"/>
      <c r="AJ268" s="58"/>
      <c r="AK268" s="58"/>
      <c r="AL268" s="58"/>
      <c r="AM268" s="58"/>
      <c r="AN268" s="58"/>
      <c r="AO268" s="58"/>
      <c r="AP268" s="58"/>
      <c r="AQ268" s="58"/>
      <c r="AR268" s="58"/>
      <c r="AS268" s="58"/>
    </row>
    <row r="269" spans="1:65" x14ac:dyDescent="0.25">
      <c r="A269" s="58"/>
      <c r="B269" s="58"/>
      <c r="C269" s="58"/>
      <c r="D269" s="58"/>
      <c r="E269" s="58"/>
      <c r="F269" s="58"/>
      <c r="G269" s="58"/>
      <c r="H269" s="58"/>
      <c r="I269" s="58"/>
      <c r="J269" s="58"/>
      <c r="K269" s="58"/>
      <c r="L269" s="58"/>
      <c r="M269" s="58"/>
      <c r="N269" s="58"/>
      <c r="O269" s="58"/>
      <c r="P269" s="58"/>
      <c r="Q269" s="58"/>
      <c r="R269" s="58"/>
      <c r="S269" s="58"/>
      <c r="T269" s="58"/>
      <c r="U269" s="58"/>
      <c r="V269" s="58"/>
      <c r="W269" s="58"/>
      <c r="X269" s="58"/>
      <c r="Y269" s="58"/>
      <c r="Z269" s="58"/>
      <c r="AA269" s="58"/>
      <c r="AB269" s="58"/>
      <c r="AC269" s="58"/>
      <c r="AD269" s="58"/>
      <c r="AE269" s="58"/>
      <c r="AF269" s="58"/>
      <c r="AG269" s="58"/>
      <c r="AH269" s="58"/>
      <c r="AI269" s="58"/>
      <c r="AJ269" s="58"/>
      <c r="AK269" s="58"/>
      <c r="AL269" s="58"/>
      <c r="AM269" s="58"/>
      <c r="AN269" s="58"/>
      <c r="AO269" s="58"/>
      <c r="AP269" s="58"/>
      <c r="AQ269" s="58"/>
      <c r="AR269" s="58"/>
      <c r="AS269" s="58"/>
    </row>
    <row r="270" spans="1:65" x14ac:dyDescent="0.25">
      <c r="A270" s="58"/>
      <c r="B270" s="58"/>
      <c r="C270" s="58"/>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c r="AS270" s="58"/>
    </row>
    <row r="271" spans="1:65" x14ac:dyDescent="0.25">
      <c r="A271" s="58"/>
      <c r="B271" s="58"/>
      <c r="C271" s="58"/>
      <c r="D271" s="58"/>
      <c r="E271" s="58"/>
      <c r="F271" s="58"/>
      <c r="G271" s="58"/>
      <c r="H271" s="58"/>
      <c r="I271" s="58"/>
      <c r="J271" s="58"/>
      <c r="K271" s="58"/>
      <c r="L271" s="58"/>
      <c r="M271" s="58"/>
      <c r="N271" s="58"/>
      <c r="O271" s="58"/>
      <c r="P271" s="58"/>
      <c r="Q271" s="58"/>
      <c r="R271" s="58"/>
      <c r="S271" s="58"/>
      <c r="T271" s="58"/>
      <c r="U271" s="58"/>
      <c r="V271" s="58"/>
      <c r="W271" s="58"/>
      <c r="X271" s="58"/>
      <c r="Y271" s="58"/>
      <c r="Z271" s="58"/>
      <c r="AA271" s="58"/>
      <c r="AB271" s="58"/>
      <c r="AC271" s="58"/>
      <c r="AD271" s="58"/>
      <c r="AE271" s="58"/>
      <c r="AF271" s="58"/>
      <c r="AG271" s="58"/>
      <c r="AH271" s="58"/>
      <c r="AI271" s="58"/>
      <c r="AJ271" s="58"/>
      <c r="AK271" s="58"/>
      <c r="AL271" s="58"/>
      <c r="AM271" s="58"/>
      <c r="AN271" s="58"/>
      <c r="AO271" s="58"/>
      <c r="AP271" s="58"/>
      <c r="AQ271" s="58"/>
      <c r="AR271" s="58"/>
      <c r="AS271" s="58"/>
    </row>
    <row r="272" spans="1:65" x14ac:dyDescent="0.25">
      <c r="A272" s="58"/>
      <c r="B272" s="58"/>
      <c r="C272" s="58"/>
      <c r="D272" s="58"/>
      <c r="E272" s="58"/>
      <c r="F272" s="58"/>
      <c r="G272" s="58"/>
      <c r="H272" s="58"/>
      <c r="I272" s="58"/>
      <c r="J272" s="58"/>
      <c r="K272" s="58"/>
      <c r="L272" s="58"/>
      <c r="M272" s="58"/>
      <c r="N272" s="58"/>
      <c r="O272" s="58"/>
      <c r="P272" s="58"/>
      <c r="Q272" s="58"/>
      <c r="R272" s="58"/>
      <c r="S272" s="58"/>
      <c r="T272" s="58"/>
      <c r="U272" s="58"/>
      <c r="V272" s="58"/>
      <c r="W272" s="58"/>
      <c r="X272" s="58"/>
      <c r="Y272" s="58"/>
      <c r="Z272" s="58"/>
      <c r="AA272" s="58"/>
      <c r="AB272" s="58"/>
      <c r="AC272" s="58"/>
      <c r="AD272" s="58"/>
      <c r="AE272" s="58"/>
      <c r="AF272" s="58"/>
      <c r="AG272" s="58"/>
      <c r="AH272" s="58"/>
      <c r="AI272" s="58"/>
      <c r="AJ272" s="58"/>
      <c r="AK272" s="58"/>
      <c r="AL272" s="58"/>
      <c r="AM272" s="58"/>
      <c r="AN272" s="58"/>
      <c r="AO272" s="58"/>
      <c r="AP272" s="58"/>
      <c r="AQ272" s="58"/>
      <c r="AR272" s="58"/>
      <c r="AS272" s="58"/>
    </row>
    <row r="273" spans="1:45" x14ac:dyDescent="0.25">
      <c r="A273" s="58"/>
      <c r="B273" s="58"/>
      <c r="C273" s="58"/>
      <c r="D273" s="58"/>
      <c r="E273" s="58"/>
      <c r="F273" s="58"/>
      <c r="G273" s="58"/>
      <c r="H273" s="58"/>
      <c r="I273" s="58"/>
      <c r="J273" s="58"/>
      <c r="K273" s="58"/>
      <c r="L273" s="58"/>
      <c r="M273" s="58"/>
      <c r="N273" s="58"/>
      <c r="O273" s="58"/>
      <c r="P273" s="58"/>
      <c r="Q273" s="58"/>
      <c r="R273" s="58"/>
      <c r="S273" s="58"/>
      <c r="T273" s="58"/>
      <c r="U273" s="58"/>
      <c r="V273" s="58"/>
      <c r="W273" s="58"/>
      <c r="X273" s="58"/>
      <c r="Y273" s="58"/>
      <c r="Z273" s="58"/>
      <c r="AA273" s="58"/>
      <c r="AB273" s="58"/>
      <c r="AC273" s="58"/>
      <c r="AD273" s="58"/>
      <c r="AE273" s="58"/>
      <c r="AF273" s="58"/>
      <c r="AG273" s="58"/>
      <c r="AH273" s="58"/>
      <c r="AI273" s="58"/>
      <c r="AJ273" s="58"/>
      <c r="AK273" s="58"/>
      <c r="AL273" s="58"/>
      <c r="AM273" s="58"/>
      <c r="AN273" s="58"/>
      <c r="AO273" s="58"/>
      <c r="AP273" s="58"/>
      <c r="AQ273" s="58"/>
      <c r="AR273" s="58"/>
      <c r="AS273" s="58"/>
    </row>
    <row r="274" spans="1:45" x14ac:dyDescent="0.25">
      <c r="A274" s="58"/>
      <c r="B274" s="58"/>
      <c r="C274" s="58"/>
      <c r="D274" s="58"/>
      <c r="E274" s="58"/>
      <c r="F274" s="58"/>
      <c r="G274" s="58"/>
      <c r="H274" s="58"/>
      <c r="I274" s="58"/>
      <c r="J274" s="58"/>
      <c r="K274" s="58"/>
      <c r="L274" s="58"/>
      <c r="M274" s="58"/>
      <c r="N274" s="58"/>
      <c r="O274" s="58"/>
      <c r="P274" s="58"/>
      <c r="Q274" s="58"/>
      <c r="R274" s="58"/>
      <c r="S274" s="58"/>
      <c r="T274" s="58"/>
      <c r="U274" s="58"/>
      <c r="V274" s="58"/>
      <c r="W274" s="58"/>
      <c r="X274" s="58"/>
      <c r="Y274" s="58"/>
      <c r="Z274" s="58"/>
      <c r="AA274" s="58"/>
      <c r="AB274" s="58"/>
      <c r="AC274" s="58"/>
      <c r="AD274" s="58"/>
      <c r="AE274" s="58"/>
      <c r="AF274" s="58"/>
      <c r="AG274" s="58"/>
      <c r="AH274" s="58"/>
      <c r="AI274" s="58"/>
      <c r="AJ274" s="58"/>
      <c r="AK274" s="58"/>
      <c r="AL274" s="58"/>
      <c r="AM274" s="58"/>
      <c r="AN274" s="58"/>
      <c r="AO274" s="58"/>
      <c r="AP274" s="58"/>
      <c r="AQ274" s="58"/>
      <c r="AR274" s="58"/>
      <c r="AS274" s="58"/>
    </row>
    <row r="275" spans="1:45" x14ac:dyDescent="0.25">
      <c r="A275" s="58"/>
      <c r="B275" s="58"/>
      <c r="C275" s="58"/>
      <c r="D275" s="58"/>
      <c r="E275" s="58"/>
      <c r="F275" s="58"/>
      <c r="G275" s="58"/>
      <c r="H275" s="58"/>
      <c r="I275" s="58"/>
      <c r="J275" s="58"/>
      <c r="K275" s="58"/>
      <c r="L275" s="58"/>
      <c r="M275" s="58"/>
      <c r="N275" s="58"/>
      <c r="O275" s="58"/>
      <c r="P275" s="58"/>
      <c r="Q275" s="58"/>
      <c r="R275" s="58"/>
      <c r="S275" s="58"/>
      <c r="T275" s="58"/>
      <c r="U275" s="58"/>
      <c r="V275" s="58"/>
      <c r="W275" s="58"/>
      <c r="X275" s="58"/>
      <c r="Y275" s="58"/>
      <c r="Z275" s="58"/>
      <c r="AA275" s="58"/>
      <c r="AB275" s="58"/>
      <c r="AC275" s="58"/>
      <c r="AD275" s="58"/>
      <c r="AE275" s="58"/>
      <c r="AF275" s="58"/>
      <c r="AG275" s="58"/>
      <c r="AH275" s="58"/>
      <c r="AI275" s="58"/>
      <c r="AJ275" s="58"/>
      <c r="AK275" s="58"/>
      <c r="AL275" s="58"/>
      <c r="AM275" s="58"/>
      <c r="AN275" s="58"/>
      <c r="AO275" s="58"/>
      <c r="AP275" s="58"/>
      <c r="AQ275" s="58"/>
      <c r="AR275" s="58"/>
      <c r="AS275" s="58"/>
    </row>
    <row r="276" spans="1:45" x14ac:dyDescent="0.25">
      <c r="A276" s="58"/>
      <c r="B276" s="58"/>
      <c r="C276" s="58"/>
      <c r="D276" s="58"/>
      <c r="E276" s="58"/>
      <c r="F276" s="58"/>
      <c r="G276" s="58"/>
      <c r="H276" s="58"/>
      <c r="I276" s="58"/>
      <c r="J276" s="58"/>
      <c r="K276" s="58"/>
      <c r="L276" s="58"/>
      <c r="M276" s="58"/>
      <c r="N276" s="58"/>
      <c r="O276" s="58"/>
      <c r="P276" s="58"/>
      <c r="Q276" s="58"/>
      <c r="R276" s="58"/>
      <c r="S276" s="58"/>
      <c r="T276" s="58"/>
      <c r="U276" s="58"/>
      <c r="V276" s="58"/>
      <c r="W276" s="58"/>
      <c r="X276" s="58"/>
      <c r="Y276" s="58"/>
      <c r="Z276" s="58"/>
      <c r="AA276" s="58"/>
      <c r="AB276" s="58"/>
      <c r="AC276" s="58"/>
      <c r="AD276" s="58"/>
      <c r="AE276" s="58"/>
      <c r="AF276" s="58"/>
      <c r="AG276" s="58"/>
      <c r="AH276" s="58"/>
      <c r="AI276" s="58"/>
      <c r="AJ276" s="58"/>
      <c r="AK276" s="58"/>
      <c r="AL276" s="58"/>
      <c r="AM276" s="58"/>
      <c r="AN276" s="58"/>
      <c r="AO276" s="58"/>
      <c r="AP276" s="58"/>
      <c r="AQ276" s="58"/>
      <c r="AR276" s="58"/>
      <c r="AS276" s="58"/>
    </row>
    <row r="277" spans="1:45" x14ac:dyDescent="0.25">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c r="AA277" s="58"/>
      <c r="AB277" s="58"/>
      <c r="AC277" s="58"/>
      <c r="AD277" s="58"/>
      <c r="AE277" s="58"/>
      <c r="AF277" s="58"/>
      <c r="AG277" s="58"/>
      <c r="AH277" s="58"/>
      <c r="AI277" s="58"/>
      <c r="AJ277" s="58"/>
      <c r="AK277" s="58"/>
      <c r="AL277" s="58"/>
      <c r="AM277" s="58"/>
      <c r="AN277" s="58"/>
      <c r="AO277" s="58"/>
      <c r="AP277" s="58"/>
      <c r="AQ277" s="58"/>
      <c r="AR277" s="58"/>
      <c r="AS277" s="58"/>
    </row>
    <row r="278" spans="1:45" x14ac:dyDescent="0.25">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c r="AA278" s="58"/>
      <c r="AB278" s="58"/>
      <c r="AC278" s="58"/>
      <c r="AD278" s="58"/>
      <c r="AE278" s="58"/>
      <c r="AF278" s="58"/>
      <c r="AG278" s="58"/>
      <c r="AH278" s="58"/>
      <c r="AI278" s="58"/>
      <c r="AJ278" s="58"/>
      <c r="AK278" s="58"/>
      <c r="AL278" s="58"/>
      <c r="AM278" s="58"/>
      <c r="AN278" s="58"/>
      <c r="AO278" s="58"/>
      <c r="AP278" s="58"/>
      <c r="AQ278" s="58"/>
      <c r="AR278" s="58"/>
      <c r="AS278" s="58"/>
    </row>
    <row r="279" spans="1:45" x14ac:dyDescent="0.25">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c r="AA279" s="58"/>
      <c r="AB279" s="58"/>
      <c r="AC279" s="58"/>
      <c r="AD279" s="58"/>
      <c r="AE279" s="58"/>
      <c r="AF279" s="58"/>
      <c r="AG279" s="58"/>
      <c r="AH279" s="58"/>
      <c r="AI279" s="58"/>
      <c r="AJ279" s="58"/>
      <c r="AK279" s="58"/>
      <c r="AL279" s="58"/>
      <c r="AM279" s="58"/>
      <c r="AN279" s="58"/>
      <c r="AO279" s="58"/>
      <c r="AP279" s="58"/>
      <c r="AQ279" s="58"/>
      <c r="AR279" s="58"/>
      <c r="AS279" s="58"/>
    </row>
    <row r="280" spans="1:45" x14ac:dyDescent="0.25">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c r="AA280" s="58"/>
      <c r="AB280" s="58"/>
      <c r="AC280" s="58"/>
      <c r="AD280" s="58"/>
      <c r="AE280" s="58"/>
      <c r="AF280" s="58"/>
      <c r="AG280" s="58"/>
      <c r="AH280" s="58"/>
      <c r="AI280" s="58"/>
      <c r="AJ280" s="58"/>
      <c r="AK280" s="58"/>
      <c r="AL280" s="58"/>
      <c r="AM280" s="58"/>
      <c r="AN280" s="58"/>
      <c r="AO280" s="58"/>
      <c r="AP280" s="58"/>
      <c r="AQ280" s="58"/>
      <c r="AR280" s="58"/>
      <c r="AS280" s="58"/>
    </row>
    <row r="281" spans="1:45" x14ac:dyDescent="0.25">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c r="AA281" s="58"/>
      <c r="AB281" s="58"/>
      <c r="AC281" s="58"/>
      <c r="AD281" s="58"/>
      <c r="AE281" s="58"/>
      <c r="AF281" s="58"/>
      <c r="AG281" s="58"/>
      <c r="AH281" s="58"/>
      <c r="AI281" s="58"/>
      <c r="AJ281" s="58"/>
      <c r="AK281" s="58"/>
      <c r="AL281" s="58"/>
      <c r="AM281" s="58"/>
      <c r="AN281" s="58"/>
      <c r="AO281" s="58"/>
      <c r="AP281" s="58"/>
      <c r="AQ281" s="58"/>
      <c r="AR281" s="58"/>
      <c r="AS281" s="58"/>
    </row>
    <row r="282" spans="1:45" x14ac:dyDescent="0.25">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c r="AA282" s="58"/>
      <c r="AB282" s="58"/>
      <c r="AC282" s="58"/>
      <c r="AD282" s="58"/>
      <c r="AE282" s="58"/>
      <c r="AF282" s="58"/>
      <c r="AG282" s="58"/>
      <c r="AH282" s="58"/>
      <c r="AI282" s="58"/>
      <c r="AJ282" s="58"/>
      <c r="AK282" s="58"/>
      <c r="AL282" s="58"/>
      <c r="AM282" s="58"/>
      <c r="AN282" s="58"/>
      <c r="AO282" s="58"/>
      <c r="AP282" s="58"/>
      <c r="AQ282" s="58"/>
      <c r="AR282" s="58"/>
      <c r="AS282" s="58"/>
    </row>
    <row r="283" spans="1:45" x14ac:dyDescent="0.25">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c r="AA283" s="58"/>
      <c r="AB283" s="58"/>
      <c r="AC283" s="58"/>
      <c r="AD283" s="58"/>
      <c r="AE283" s="58"/>
      <c r="AF283" s="58"/>
      <c r="AG283" s="58"/>
      <c r="AH283" s="58"/>
      <c r="AI283" s="58"/>
      <c r="AJ283" s="58"/>
      <c r="AK283" s="58"/>
      <c r="AL283" s="58"/>
      <c r="AM283" s="58"/>
      <c r="AN283" s="58"/>
      <c r="AO283" s="58"/>
      <c r="AP283" s="58"/>
      <c r="AQ283" s="58"/>
      <c r="AR283" s="58"/>
      <c r="AS283" s="58"/>
    </row>
    <row r="284" spans="1:45" x14ac:dyDescent="0.25">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c r="AA284" s="58"/>
      <c r="AB284" s="58"/>
      <c r="AC284" s="58"/>
      <c r="AD284" s="58"/>
      <c r="AE284" s="58"/>
      <c r="AF284" s="58"/>
      <c r="AG284" s="58"/>
      <c r="AH284" s="58"/>
      <c r="AI284" s="58"/>
      <c r="AJ284" s="58"/>
      <c r="AK284" s="58"/>
      <c r="AL284" s="58"/>
      <c r="AM284" s="58"/>
      <c r="AN284" s="58"/>
      <c r="AO284" s="58"/>
      <c r="AP284" s="58"/>
      <c r="AQ284" s="58"/>
      <c r="AR284" s="58"/>
      <c r="AS284" s="58"/>
    </row>
    <row r="285" spans="1:45" x14ac:dyDescent="0.25">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c r="AA285" s="58"/>
      <c r="AB285" s="58"/>
      <c r="AC285" s="58"/>
      <c r="AD285" s="58"/>
      <c r="AE285" s="58"/>
      <c r="AF285" s="58"/>
      <c r="AG285" s="58"/>
      <c r="AH285" s="58"/>
      <c r="AI285" s="58"/>
      <c r="AJ285" s="58"/>
      <c r="AK285" s="58"/>
      <c r="AL285" s="58"/>
      <c r="AM285" s="58"/>
      <c r="AN285" s="58"/>
      <c r="AO285" s="58"/>
      <c r="AP285" s="58"/>
      <c r="AQ285" s="58"/>
      <c r="AR285" s="58"/>
      <c r="AS285" s="58"/>
    </row>
    <row r="286" spans="1:45" x14ac:dyDescent="0.25">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c r="AA286" s="58"/>
      <c r="AB286" s="58"/>
      <c r="AC286" s="58"/>
      <c r="AD286" s="58"/>
      <c r="AE286" s="58"/>
      <c r="AF286" s="58"/>
      <c r="AG286" s="58"/>
      <c r="AH286" s="58"/>
      <c r="AI286" s="58"/>
      <c r="AJ286" s="58"/>
      <c r="AK286" s="58"/>
      <c r="AL286" s="58"/>
      <c r="AM286" s="58"/>
      <c r="AN286" s="58"/>
      <c r="AO286" s="58"/>
      <c r="AP286" s="58"/>
      <c r="AQ286" s="58"/>
      <c r="AR286" s="58"/>
      <c r="AS286" s="58"/>
    </row>
    <row r="287" spans="1:45" x14ac:dyDescent="0.25">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c r="AA287" s="58"/>
      <c r="AB287" s="58"/>
      <c r="AC287" s="58"/>
      <c r="AD287" s="58"/>
      <c r="AE287" s="58"/>
      <c r="AF287" s="58"/>
      <c r="AG287" s="58"/>
      <c r="AH287" s="58"/>
      <c r="AI287" s="58"/>
      <c r="AJ287" s="58"/>
      <c r="AK287" s="58"/>
      <c r="AL287" s="58"/>
      <c r="AM287" s="58"/>
      <c r="AN287" s="58"/>
      <c r="AO287" s="58"/>
      <c r="AP287" s="58"/>
      <c r="AQ287" s="58"/>
      <c r="AR287" s="58"/>
      <c r="AS287" s="58"/>
    </row>
    <row r="288" spans="1:45" x14ac:dyDescent="0.25">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c r="AA288" s="58"/>
      <c r="AB288" s="58"/>
      <c r="AC288" s="58"/>
      <c r="AD288" s="58"/>
      <c r="AE288" s="58"/>
      <c r="AF288" s="58"/>
      <c r="AG288" s="58"/>
      <c r="AH288" s="58"/>
      <c r="AI288" s="58"/>
      <c r="AJ288" s="58"/>
      <c r="AK288" s="58"/>
      <c r="AL288" s="58"/>
      <c r="AM288" s="58"/>
      <c r="AN288" s="58"/>
      <c r="AO288" s="58"/>
      <c r="AP288" s="58"/>
      <c r="AQ288" s="58"/>
      <c r="AR288" s="58"/>
      <c r="AS288" s="58"/>
    </row>
    <row r="289" spans="1:45" x14ac:dyDescent="0.25">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c r="AA289" s="58"/>
      <c r="AB289" s="58"/>
      <c r="AC289" s="58"/>
      <c r="AD289" s="58"/>
      <c r="AE289" s="58"/>
      <c r="AF289" s="58"/>
      <c r="AG289" s="58"/>
      <c r="AH289" s="58"/>
      <c r="AI289" s="58"/>
      <c r="AJ289" s="58"/>
      <c r="AK289" s="58"/>
      <c r="AL289" s="58"/>
      <c r="AM289" s="58"/>
      <c r="AN289" s="58"/>
      <c r="AO289" s="58"/>
      <c r="AP289" s="58"/>
      <c r="AQ289" s="58"/>
      <c r="AR289" s="58"/>
      <c r="AS289" s="58"/>
    </row>
    <row r="290" spans="1:45" x14ac:dyDescent="0.25">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c r="AA290" s="58"/>
      <c r="AB290" s="58"/>
      <c r="AC290" s="58"/>
      <c r="AD290" s="58"/>
      <c r="AE290" s="58"/>
      <c r="AF290" s="58"/>
      <c r="AG290" s="58"/>
      <c r="AH290" s="58"/>
      <c r="AI290" s="58"/>
      <c r="AJ290" s="58"/>
      <c r="AK290" s="58"/>
      <c r="AL290" s="58"/>
      <c r="AM290" s="58"/>
      <c r="AN290" s="58"/>
      <c r="AO290" s="58"/>
      <c r="AP290" s="58"/>
      <c r="AQ290" s="58"/>
      <c r="AR290" s="58"/>
      <c r="AS290" s="58"/>
    </row>
    <row r="291" spans="1:45" x14ac:dyDescent="0.25">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c r="AA291" s="58"/>
      <c r="AB291" s="58"/>
      <c r="AC291" s="58"/>
      <c r="AD291" s="58"/>
      <c r="AE291" s="58"/>
      <c r="AF291" s="58"/>
      <c r="AG291" s="58"/>
      <c r="AH291" s="58"/>
      <c r="AI291" s="58"/>
      <c r="AJ291" s="58"/>
      <c r="AK291" s="58"/>
      <c r="AL291" s="58"/>
      <c r="AM291" s="58"/>
      <c r="AN291" s="58"/>
      <c r="AO291" s="58"/>
      <c r="AP291" s="58"/>
      <c r="AQ291" s="58"/>
      <c r="AR291" s="58"/>
      <c r="AS291" s="58"/>
    </row>
    <row r="292" spans="1:45" x14ac:dyDescent="0.25">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c r="AA292" s="58"/>
      <c r="AB292" s="58"/>
      <c r="AC292" s="58"/>
      <c r="AD292" s="58"/>
      <c r="AE292" s="58"/>
      <c r="AF292" s="58"/>
      <c r="AG292" s="58"/>
      <c r="AH292" s="58"/>
      <c r="AI292" s="58"/>
      <c r="AJ292" s="58"/>
      <c r="AK292" s="58"/>
      <c r="AL292" s="58"/>
      <c r="AM292" s="58"/>
      <c r="AN292" s="58"/>
      <c r="AO292" s="58"/>
      <c r="AP292" s="58"/>
      <c r="AQ292" s="58"/>
      <c r="AR292" s="58"/>
      <c r="AS292" s="58"/>
    </row>
    <row r="293" spans="1:45" x14ac:dyDescent="0.25">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c r="AA293" s="58"/>
      <c r="AB293" s="58"/>
      <c r="AC293" s="58"/>
      <c r="AD293" s="58"/>
      <c r="AE293" s="58"/>
      <c r="AF293" s="58"/>
      <c r="AG293" s="58"/>
      <c r="AH293" s="58"/>
      <c r="AI293" s="58"/>
      <c r="AJ293" s="58"/>
      <c r="AK293" s="58"/>
      <c r="AL293" s="58"/>
      <c r="AM293" s="58"/>
      <c r="AN293" s="58"/>
      <c r="AO293" s="58"/>
      <c r="AP293" s="58"/>
      <c r="AQ293" s="58"/>
      <c r="AR293" s="58"/>
      <c r="AS293" s="58"/>
    </row>
    <row r="294" spans="1:45" x14ac:dyDescent="0.25">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row>
    <row r="295" spans="1:45" x14ac:dyDescent="0.25">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c r="AA295" s="58"/>
      <c r="AB295" s="58"/>
      <c r="AC295" s="58"/>
      <c r="AD295" s="58"/>
      <c r="AE295" s="58"/>
      <c r="AF295" s="58"/>
      <c r="AG295" s="58"/>
      <c r="AH295" s="58"/>
      <c r="AI295" s="58"/>
      <c r="AJ295" s="58"/>
      <c r="AK295" s="58"/>
      <c r="AL295" s="58"/>
      <c r="AM295" s="58"/>
      <c r="AN295" s="58"/>
      <c r="AO295" s="58"/>
      <c r="AP295" s="58"/>
      <c r="AQ295" s="58"/>
      <c r="AR295" s="58"/>
      <c r="AS295" s="58"/>
    </row>
    <row r="296" spans="1:45" x14ac:dyDescent="0.25">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c r="AA296" s="58"/>
      <c r="AB296" s="58"/>
      <c r="AC296" s="58"/>
      <c r="AD296" s="58"/>
      <c r="AE296" s="58"/>
      <c r="AF296" s="58"/>
      <c r="AG296" s="58"/>
      <c r="AH296" s="58"/>
      <c r="AI296" s="58"/>
      <c r="AJ296" s="58"/>
      <c r="AK296" s="58"/>
      <c r="AL296" s="58"/>
      <c r="AM296" s="58"/>
      <c r="AN296" s="58"/>
      <c r="AO296" s="58"/>
      <c r="AP296" s="58"/>
      <c r="AQ296" s="58"/>
      <c r="AR296" s="58"/>
      <c r="AS296" s="58"/>
    </row>
    <row r="297" spans="1:45" x14ac:dyDescent="0.25">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c r="AA297" s="58"/>
      <c r="AB297" s="58"/>
      <c r="AC297" s="58"/>
      <c r="AD297" s="58"/>
      <c r="AE297" s="58"/>
      <c r="AF297" s="58"/>
      <c r="AG297" s="58"/>
      <c r="AH297" s="58"/>
      <c r="AI297" s="58"/>
      <c r="AJ297" s="58"/>
      <c r="AK297" s="58"/>
      <c r="AL297" s="58"/>
      <c r="AM297" s="58"/>
      <c r="AN297" s="58"/>
      <c r="AO297" s="58"/>
      <c r="AP297" s="58"/>
      <c r="AQ297" s="58"/>
      <c r="AR297" s="58"/>
      <c r="AS297" s="58"/>
    </row>
    <row r="298" spans="1:45" x14ac:dyDescent="0.25">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c r="AA298" s="58"/>
      <c r="AB298" s="58"/>
      <c r="AC298" s="58"/>
      <c r="AD298" s="58"/>
      <c r="AE298" s="58"/>
      <c r="AF298" s="58"/>
      <c r="AG298" s="58"/>
      <c r="AH298" s="58"/>
      <c r="AI298" s="58"/>
      <c r="AJ298" s="58"/>
      <c r="AK298" s="58"/>
      <c r="AL298" s="58"/>
      <c r="AM298" s="58"/>
      <c r="AN298" s="58"/>
      <c r="AO298" s="58"/>
      <c r="AP298" s="58"/>
      <c r="AQ298" s="58"/>
      <c r="AR298" s="58"/>
      <c r="AS298" s="58"/>
    </row>
    <row r="299" spans="1:45" x14ac:dyDescent="0.25">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c r="AA299" s="58"/>
      <c r="AB299" s="58"/>
      <c r="AC299" s="58"/>
      <c r="AD299" s="58"/>
      <c r="AE299" s="58"/>
      <c r="AF299" s="58"/>
      <c r="AG299" s="58"/>
      <c r="AH299" s="58"/>
      <c r="AI299" s="58"/>
      <c r="AJ299" s="58"/>
      <c r="AK299" s="58"/>
      <c r="AL299" s="58"/>
      <c r="AM299" s="58"/>
      <c r="AN299" s="58"/>
      <c r="AO299" s="58"/>
      <c r="AP299" s="58"/>
      <c r="AQ299" s="58"/>
      <c r="AR299" s="58"/>
      <c r="AS299" s="58"/>
    </row>
    <row r="300" spans="1:45" x14ac:dyDescent="0.25">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c r="AA300" s="58"/>
      <c r="AB300" s="58"/>
      <c r="AC300" s="58"/>
      <c r="AD300" s="58"/>
      <c r="AE300" s="58"/>
      <c r="AF300" s="58"/>
      <c r="AG300" s="58"/>
      <c r="AH300" s="58"/>
      <c r="AI300" s="58"/>
      <c r="AJ300" s="58"/>
      <c r="AK300" s="58"/>
      <c r="AL300" s="58"/>
      <c r="AM300" s="58"/>
      <c r="AN300" s="58"/>
      <c r="AO300" s="58"/>
      <c r="AP300" s="58"/>
      <c r="AQ300" s="58"/>
      <c r="AR300" s="58"/>
      <c r="AS300" s="58"/>
    </row>
    <row r="301" spans="1:45" x14ac:dyDescent="0.25">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c r="AA301" s="58"/>
      <c r="AB301" s="58"/>
      <c r="AC301" s="58"/>
      <c r="AD301" s="58"/>
      <c r="AE301" s="58"/>
      <c r="AF301" s="58"/>
      <c r="AG301" s="58"/>
      <c r="AH301" s="58"/>
      <c r="AI301" s="58"/>
      <c r="AJ301" s="58"/>
      <c r="AK301" s="58"/>
      <c r="AL301" s="58"/>
      <c r="AM301" s="58"/>
      <c r="AN301" s="58"/>
      <c r="AO301" s="58"/>
      <c r="AP301" s="58"/>
      <c r="AQ301" s="58"/>
      <c r="AR301" s="58"/>
      <c r="AS301" s="58"/>
    </row>
    <row r="302" spans="1:45" x14ac:dyDescent="0.25">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c r="AA302" s="58"/>
      <c r="AB302" s="58"/>
      <c r="AC302" s="58"/>
      <c r="AD302" s="58"/>
      <c r="AE302" s="58"/>
      <c r="AF302" s="58"/>
      <c r="AG302" s="58"/>
      <c r="AH302" s="58"/>
      <c r="AI302" s="58"/>
      <c r="AJ302" s="58"/>
      <c r="AK302" s="58"/>
      <c r="AL302" s="58"/>
      <c r="AM302" s="58"/>
      <c r="AN302" s="58"/>
      <c r="AO302" s="58"/>
      <c r="AP302" s="58"/>
      <c r="AQ302" s="58"/>
      <c r="AR302" s="58"/>
      <c r="AS302" s="58"/>
    </row>
    <row r="303" spans="1:45" x14ac:dyDescent="0.25">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c r="AA303" s="58"/>
      <c r="AB303" s="58"/>
      <c r="AC303" s="58"/>
      <c r="AD303" s="58"/>
      <c r="AE303" s="58"/>
      <c r="AF303" s="58"/>
      <c r="AG303" s="58"/>
      <c r="AH303" s="58"/>
      <c r="AI303" s="58"/>
      <c r="AJ303" s="58"/>
      <c r="AK303" s="58"/>
      <c r="AL303" s="58"/>
      <c r="AM303" s="58"/>
      <c r="AN303" s="58"/>
      <c r="AO303" s="58"/>
      <c r="AP303" s="58"/>
      <c r="AQ303" s="58"/>
      <c r="AR303" s="58"/>
      <c r="AS303" s="58"/>
    </row>
    <row r="304" spans="1:45" x14ac:dyDescent="0.25">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c r="AA304" s="58"/>
      <c r="AB304" s="58"/>
      <c r="AC304" s="58"/>
      <c r="AD304" s="58"/>
      <c r="AE304" s="58"/>
      <c r="AF304" s="58"/>
      <c r="AG304" s="58"/>
      <c r="AH304" s="58"/>
      <c r="AI304" s="58"/>
      <c r="AJ304" s="58"/>
      <c r="AK304" s="58"/>
      <c r="AL304" s="58"/>
      <c r="AM304" s="58"/>
      <c r="AN304" s="58"/>
      <c r="AO304" s="58"/>
      <c r="AP304" s="58"/>
      <c r="AQ304" s="58"/>
      <c r="AR304" s="58"/>
      <c r="AS304" s="58"/>
    </row>
    <row r="305" spans="1:45" x14ac:dyDescent="0.25">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c r="AA305" s="58"/>
      <c r="AB305" s="58"/>
      <c r="AC305" s="58"/>
      <c r="AD305" s="58"/>
      <c r="AE305" s="58"/>
      <c r="AF305" s="58"/>
      <c r="AG305" s="58"/>
      <c r="AH305" s="58"/>
      <c r="AI305" s="58"/>
      <c r="AJ305" s="58"/>
      <c r="AK305" s="58"/>
      <c r="AL305" s="58"/>
      <c r="AM305" s="58"/>
      <c r="AN305" s="58"/>
      <c r="AO305" s="58"/>
      <c r="AP305" s="58"/>
      <c r="AQ305" s="58"/>
      <c r="AR305" s="58"/>
      <c r="AS305" s="58"/>
    </row>
    <row r="306" spans="1:45" x14ac:dyDescent="0.25">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c r="AA306" s="58"/>
      <c r="AB306" s="58"/>
      <c r="AC306" s="58"/>
      <c r="AD306" s="58"/>
      <c r="AE306" s="58"/>
      <c r="AF306" s="58"/>
      <c r="AG306" s="58"/>
      <c r="AH306" s="58"/>
      <c r="AI306" s="58"/>
      <c r="AJ306" s="58"/>
      <c r="AK306" s="58"/>
      <c r="AL306" s="58"/>
      <c r="AM306" s="58"/>
      <c r="AN306" s="58"/>
      <c r="AO306" s="58"/>
      <c r="AP306" s="58"/>
      <c r="AQ306" s="58"/>
      <c r="AR306" s="58"/>
      <c r="AS306" s="58"/>
    </row>
    <row r="307" spans="1:45" x14ac:dyDescent="0.25">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c r="AA307" s="58"/>
      <c r="AB307" s="58"/>
      <c r="AC307" s="58"/>
      <c r="AD307" s="58"/>
      <c r="AE307" s="58"/>
      <c r="AF307" s="58"/>
      <c r="AG307" s="58"/>
      <c r="AH307" s="58"/>
      <c r="AI307" s="58"/>
      <c r="AJ307" s="58"/>
      <c r="AK307" s="58"/>
      <c r="AL307" s="58"/>
      <c r="AM307" s="58"/>
      <c r="AN307" s="58"/>
      <c r="AO307" s="58"/>
      <c r="AP307" s="58"/>
      <c r="AQ307" s="58"/>
      <c r="AR307" s="58"/>
      <c r="AS307" s="58"/>
    </row>
    <row r="308" spans="1:45" x14ac:dyDescent="0.25">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c r="AA308" s="58"/>
      <c r="AB308" s="58"/>
      <c r="AC308" s="58"/>
      <c r="AD308" s="58"/>
      <c r="AE308" s="58"/>
      <c r="AF308" s="58"/>
      <c r="AG308" s="58"/>
      <c r="AH308" s="58"/>
      <c r="AI308" s="58"/>
      <c r="AJ308" s="58"/>
      <c r="AK308" s="58"/>
      <c r="AL308" s="58"/>
      <c r="AM308" s="58"/>
      <c r="AN308" s="58"/>
      <c r="AO308" s="58"/>
      <c r="AP308" s="58"/>
      <c r="AQ308" s="58"/>
      <c r="AR308" s="58"/>
      <c r="AS308" s="58"/>
    </row>
    <row r="309" spans="1:45" x14ac:dyDescent="0.25">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c r="AA309" s="58"/>
      <c r="AB309" s="58"/>
      <c r="AC309" s="58"/>
      <c r="AD309" s="58"/>
      <c r="AE309" s="58"/>
      <c r="AF309" s="58"/>
      <c r="AG309" s="58"/>
      <c r="AH309" s="58"/>
      <c r="AI309" s="58"/>
      <c r="AJ309" s="58"/>
      <c r="AK309" s="58"/>
      <c r="AL309" s="58"/>
      <c r="AM309" s="58"/>
      <c r="AN309" s="58"/>
      <c r="AO309" s="58"/>
      <c r="AP309" s="58"/>
      <c r="AQ309" s="58"/>
      <c r="AR309" s="58"/>
      <c r="AS309" s="58"/>
    </row>
    <row r="310" spans="1:45" x14ac:dyDescent="0.25">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c r="AA310" s="58"/>
      <c r="AB310" s="58"/>
      <c r="AC310" s="58"/>
      <c r="AD310" s="58"/>
      <c r="AE310" s="58"/>
      <c r="AF310" s="58"/>
      <c r="AG310" s="58"/>
      <c r="AH310" s="58"/>
      <c r="AI310" s="58"/>
      <c r="AJ310" s="58"/>
      <c r="AK310" s="58"/>
      <c r="AL310" s="58"/>
      <c r="AM310" s="58"/>
      <c r="AN310" s="58"/>
      <c r="AO310" s="58"/>
      <c r="AP310" s="58"/>
      <c r="AQ310" s="58"/>
      <c r="AR310" s="58"/>
      <c r="AS310" s="58"/>
    </row>
    <row r="311" spans="1:45" x14ac:dyDescent="0.25">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c r="AA311" s="58"/>
      <c r="AB311" s="58"/>
      <c r="AC311" s="58"/>
      <c r="AD311" s="58"/>
      <c r="AE311" s="58"/>
      <c r="AF311" s="58"/>
      <c r="AG311" s="58"/>
      <c r="AH311" s="58"/>
      <c r="AI311" s="58"/>
      <c r="AJ311" s="58"/>
      <c r="AK311" s="58"/>
      <c r="AL311" s="58"/>
      <c r="AM311" s="58"/>
      <c r="AN311" s="58"/>
      <c r="AO311" s="58"/>
      <c r="AP311" s="58"/>
      <c r="AQ311" s="58"/>
      <c r="AR311" s="58"/>
      <c r="AS311" s="58"/>
    </row>
    <row r="312" spans="1:45" x14ac:dyDescent="0.25">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c r="AA312" s="58"/>
      <c r="AB312" s="58"/>
      <c r="AC312" s="58"/>
      <c r="AD312" s="58"/>
      <c r="AE312" s="58"/>
      <c r="AF312" s="58"/>
      <c r="AG312" s="58"/>
      <c r="AH312" s="58"/>
      <c r="AI312" s="58"/>
      <c r="AJ312" s="58"/>
      <c r="AK312" s="58"/>
      <c r="AL312" s="58"/>
      <c r="AM312" s="58"/>
      <c r="AN312" s="58"/>
      <c r="AO312" s="58"/>
      <c r="AP312" s="58"/>
      <c r="AQ312" s="58"/>
      <c r="AR312" s="58"/>
      <c r="AS312" s="58"/>
    </row>
    <row r="313" spans="1:45" x14ac:dyDescent="0.25">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c r="AA313" s="58"/>
      <c r="AB313" s="58"/>
      <c r="AC313" s="58"/>
      <c r="AD313" s="58"/>
      <c r="AE313" s="58"/>
      <c r="AF313" s="58"/>
      <c r="AG313" s="58"/>
      <c r="AH313" s="58"/>
      <c r="AI313" s="58"/>
      <c r="AJ313" s="58"/>
      <c r="AK313" s="58"/>
      <c r="AL313" s="58"/>
      <c r="AM313" s="58"/>
      <c r="AN313" s="58"/>
      <c r="AO313" s="58"/>
      <c r="AP313" s="58"/>
      <c r="AQ313" s="58"/>
      <c r="AR313" s="58"/>
      <c r="AS313" s="58"/>
    </row>
    <row r="314" spans="1:45" x14ac:dyDescent="0.25">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c r="AA314" s="58"/>
      <c r="AB314" s="58"/>
      <c r="AC314" s="58"/>
      <c r="AD314" s="58"/>
      <c r="AE314" s="58"/>
      <c r="AF314" s="58"/>
      <c r="AG314" s="58"/>
      <c r="AH314" s="58"/>
      <c r="AI314" s="58"/>
      <c r="AJ314" s="58"/>
      <c r="AK314" s="58"/>
      <c r="AL314" s="58"/>
      <c r="AM314" s="58"/>
      <c r="AN314" s="58"/>
      <c r="AO314" s="58"/>
      <c r="AP314" s="58"/>
      <c r="AQ314" s="58"/>
      <c r="AR314" s="58"/>
      <c r="AS314" s="58"/>
    </row>
    <row r="315" spans="1:45" x14ac:dyDescent="0.25">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c r="AA315" s="58"/>
      <c r="AB315" s="58"/>
      <c r="AC315" s="58"/>
      <c r="AD315" s="58"/>
      <c r="AE315" s="58"/>
      <c r="AF315" s="58"/>
      <c r="AG315" s="58"/>
      <c r="AH315" s="58"/>
      <c r="AI315" s="58"/>
      <c r="AJ315" s="58"/>
      <c r="AK315" s="58"/>
      <c r="AL315" s="58"/>
      <c r="AM315" s="58"/>
      <c r="AN315" s="58"/>
      <c r="AO315" s="58"/>
      <c r="AP315" s="58"/>
      <c r="AQ315" s="58"/>
      <c r="AR315" s="58"/>
      <c r="AS315" s="58"/>
    </row>
    <row r="316" spans="1:45" x14ac:dyDescent="0.25">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c r="AA316" s="58"/>
      <c r="AB316" s="58"/>
      <c r="AC316" s="58"/>
      <c r="AD316" s="58"/>
      <c r="AE316" s="58"/>
      <c r="AF316" s="58"/>
      <c r="AG316" s="58"/>
      <c r="AH316" s="58"/>
      <c r="AI316" s="58"/>
      <c r="AJ316" s="58"/>
      <c r="AK316" s="58"/>
      <c r="AL316" s="58"/>
      <c r="AM316" s="58"/>
      <c r="AN316" s="58"/>
      <c r="AO316" s="58"/>
      <c r="AP316" s="58"/>
      <c r="AQ316" s="58"/>
      <c r="AR316" s="58"/>
      <c r="AS316" s="58"/>
    </row>
    <row r="317" spans="1:45" x14ac:dyDescent="0.25">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c r="AA317" s="58"/>
      <c r="AB317" s="58"/>
      <c r="AC317" s="58"/>
      <c r="AD317" s="58"/>
      <c r="AE317" s="58"/>
      <c r="AF317" s="58"/>
      <c r="AG317" s="58"/>
      <c r="AH317" s="58"/>
      <c r="AI317" s="58"/>
      <c r="AJ317" s="58"/>
      <c r="AK317" s="58"/>
      <c r="AL317" s="58"/>
      <c r="AM317" s="58"/>
      <c r="AN317" s="58"/>
      <c r="AO317" s="58"/>
      <c r="AP317" s="58"/>
      <c r="AQ317" s="58"/>
      <c r="AR317" s="58"/>
      <c r="AS317" s="58"/>
    </row>
    <row r="318" spans="1:45" x14ac:dyDescent="0.25">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c r="AA318" s="58"/>
      <c r="AB318" s="58"/>
      <c r="AC318" s="58"/>
      <c r="AD318" s="58"/>
      <c r="AE318" s="58"/>
      <c r="AF318" s="58"/>
      <c r="AG318" s="58"/>
      <c r="AH318" s="58"/>
      <c r="AI318" s="58"/>
      <c r="AJ318" s="58"/>
      <c r="AK318" s="58"/>
      <c r="AL318" s="58"/>
      <c r="AM318" s="58"/>
      <c r="AN318" s="58"/>
      <c r="AO318" s="58"/>
      <c r="AP318" s="58"/>
      <c r="AQ318" s="58"/>
      <c r="AR318" s="58"/>
      <c r="AS318" s="58"/>
    </row>
    <row r="319" spans="1:45" x14ac:dyDescent="0.25">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c r="AA319" s="58"/>
      <c r="AB319" s="58"/>
      <c r="AC319" s="58"/>
      <c r="AD319" s="58"/>
      <c r="AE319" s="58"/>
      <c r="AF319" s="58"/>
      <c r="AG319" s="58"/>
      <c r="AH319" s="58"/>
      <c r="AI319" s="58"/>
      <c r="AJ319" s="58"/>
      <c r="AK319" s="58"/>
      <c r="AL319" s="58"/>
      <c r="AM319" s="58"/>
      <c r="AN319" s="58"/>
      <c r="AO319" s="58"/>
      <c r="AP319" s="58"/>
      <c r="AQ319" s="58"/>
      <c r="AR319" s="58"/>
      <c r="AS319" s="58"/>
    </row>
    <row r="320" spans="1:45" x14ac:dyDescent="0.25">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c r="AA320" s="58"/>
      <c r="AB320" s="58"/>
      <c r="AC320" s="58"/>
      <c r="AD320" s="58"/>
      <c r="AE320" s="58"/>
      <c r="AF320" s="58"/>
      <c r="AG320" s="58"/>
      <c r="AH320" s="58"/>
      <c r="AI320" s="58"/>
      <c r="AJ320" s="58"/>
      <c r="AK320" s="58"/>
      <c r="AL320" s="58"/>
      <c r="AM320" s="58"/>
      <c r="AN320" s="58"/>
      <c r="AO320" s="58"/>
      <c r="AP320" s="58"/>
      <c r="AQ320" s="58"/>
      <c r="AR320" s="58"/>
      <c r="AS320" s="58"/>
    </row>
    <row r="321" spans="1:45" x14ac:dyDescent="0.25">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c r="AA321" s="58"/>
      <c r="AB321" s="58"/>
      <c r="AC321" s="58"/>
      <c r="AD321" s="58"/>
      <c r="AE321" s="58"/>
      <c r="AF321" s="58"/>
      <c r="AG321" s="58"/>
      <c r="AH321" s="58"/>
      <c r="AI321" s="58"/>
      <c r="AJ321" s="58"/>
      <c r="AK321" s="58"/>
      <c r="AL321" s="58"/>
      <c r="AM321" s="58"/>
      <c r="AN321" s="58"/>
      <c r="AO321" s="58"/>
      <c r="AP321" s="58"/>
      <c r="AQ321" s="58"/>
      <c r="AR321" s="58"/>
      <c r="AS321" s="58"/>
    </row>
    <row r="322" spans="1:45" x14ac:dyDescent="0.25">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c r="AA322" s="58"/>
      <c r="AB322" s="58"/>
      <c r="AC322" s="58"/>
      <c r="AD322" s="58"/>
      <c r="AE322" s="58"/>
      <c r="AF322" s="58"/>
      <c r="AG322" s="58"/>
      <c r="AH322" s="58"/>
      <c r="AI322" s="58"/>
      <c r="AJ322" s="58"/>
      <c r="AK322" s="58"/>
      <c r="AL322" s="58"/>
      <c r="AM322" s="58"/>
      <c r="AN322" s="58"/>
      <c r="AO322" s="58"/>
      <c r="AP322" s="58"/>
      <c r="AQ322" s="58"/>
      <c r="AR322" s="58"/>
      <c r="AS322" s="58"/>
    </row>
    <row r="323" spans="1:45" x14ac:dyDescent="0.25">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c r="AA323" s="58"/>
      <c r="AB323" s="58"/>
      <c r="AC323" s="58"/>
      <c r="AD323" s="58"/>
      <c r="AE323" s="58"/>
      <c r="AF323" s="58"/>
      <c r="AG323" s="58"/>
      <c r="AH323" s="58"/>
      <c r="AI323" s="58"/>
      <c r="AJ323" s="58"/>
      <c r="AK323" s="58"/>
      <c r="AL323" s="58"/>
      <c r="AM323" s="58"/>
      <c r="AN323" s="58"/>
      <c r="AO323" s="58"/>
      <c r="AP323" s="58"/>
      <c r="AQ323" s="58"/>
      <c r="AR323" s="58"/>
      <c r="AS323" s="58"/>
    </row>
    <row r="324" spans="1:45" x14ac:dyDescent="0.25">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c r="AA324" s="58"/>
      <c r="AB324" s="58"/>
      <c r="AC324" s="58"/>
      <c r="AD324" s="58"/>
      <c r="AE324" s="58"/>
      <c r="AF324" s="58"/>
      <c r="AG324" s="58"/>
      <c r="AH324" s="58"/>
      <c r="AI324" s="58"/>
      <c r="AJ324" s="58"/>
      <c r="AK324" s="58"/>
      <c r="AL324" s="58"/>
      <c r="AM324" s="58"/>
      <c r="AN324" s="58"/>
      <c r="AO324" s="58"/>
      <c r="AP324" s="58"/>
      <c r="AQ324" s="58"/>
      <c r="AR324" s="58"/>
      <c r="AS324" s="58"/>
    </row>
    <row r="325" spans="1:45" x14ac:dyDescent="0.25">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row>
    <row r="326" spans="1:45" x14ac:dyDescent="0.25">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c r="AA326" s="58"/>
      <c r="AB326" s="58"/>
      <c r="AC326" s="58"/>
      <c r="AD326" s="58"/>
      <c r="AE326" s="58"/>
      <c r="AF326" s="58"/>
      <c r="AG326" s="58"/>
      <c r="AH326" s="58"/>
      <c r="AI326" s="58"/>
      <c r="AJ326" s="58"/>
      <c r="AK326" s="58"/>
      <c r="AL326" s="58"/>
      <c r="AM326" s="58"/>
      <c r="AN326" s="58"/>
      <c r="AO326" s="58"/>
      <c r="AP326" s="58"/>
      <c r="AQ326" s="58"/>
      <c r="AR326" s="58"/>
      <c r="AS326" s="58"/>
    </row>
    <row r="327" spans="1:45" x14ac:dyDescent="0.25">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c r="AA327" s="58"/>
      <c r="AB327" s="58"/>
      <c r="AC327" s="58"/>
      <c r="AD327" s="58"/>
      <c r="AE327" s="58"/>
      <c r="AF327" s="58"/>
      <c r="AG327" s="58"/>
      <c r="AH327" s="58"/>
      <c r="AI327" s="58"/>
      <c r="AJ327" s="58"/>
      <c r="AK327" s="58"/>
      <c r="AL327" s="58"/>
      <c r="AM327" s="58"/>
      <c r="AN327" s="58"/>
      <c r="AO327" s="58"/>
      <c r="AP327" s="58"/>
      <c r="AQ327" s="58"/>
      <c r="AR327" s="58"/>
      <c r="AS327" s="58"/>
    </row>
    <row r="328" spans="1:45" x14ac:dyDescent="0.25">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c r="AA328" s="58"/>
      <c r="AB328" s="58"/>
      <c r="AC328" s="58"/>
      <c r="AD328" s="58"/>
      <c r="AE328" s="58"/>
      <c r="AF328" s="58"/>
      <c r="AG328" s="58"/>
      <c r="AH328" s="58"/>
      <c r="AI328" s="58"/>
      <c r="AJ328" s="58"/>
      <c r="AK328" s="58"/>
      <c r="AL328" s="58"/>
      <c r="AM328" s="58"/>
      <c r="AN328" s="58"/>
      <c r="AO328" s="58"/>
      <c r="AP328" s="58"/>
      <c r="AQ328" s="58"/>
      <c r="AR328" s="58"/>
      <c r="AS328" s="58"/>
    </row>
    <row r="329" spans="1:45" x14ac:dyDescent="0.25">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c r="AA329" s="58"/>
      <c r="AB329" s="58"/>
      <c r="AC329" s="58"/>
      <c r="AD329" s="58"/>
      <c r="AE329" s="58"/>
      <c r="AF329" s="58"/>
      <c r="AG329" s="58"/>
      <c r="AH329" s="58"/>
      <c r="AI329" s="58"/>
      <c r="AJ329" s="58"/>
      <c r="AK329" s="58"/>
      <c r="AL329" s="58"/>
      <c r="AM329" s="58"/>
      <c r="AN329" s="58"/>
      <c r="AO329" s="58"/>
      <c r="AP329" s="58"/>
      <c r="AQ329" s="58"/>
      <c r="AR329" s="58"/>
      <c r="AS329" s="58"/>
    </row>
    <row r="330" spans="1:45" x14ac:dyDescent="0.25">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c r="AA330" s="58"/>
      <c r="AB330" s="58"/>
      <c r="AC330" s="58"/>
      <c r="AD330" s="58"/>
      <c r="AE330" s="58"/>
      <c r="AF330" s="58"/>
      <c r="AG330" s="58"/>
      <c r="AH330" s="58"/>
      <c r="AI330" s="58"/>
      <c r="AJ330" s="58"/>
      <c r="AK330" s="58"/>
      <c r="AL330" s="58"/>
      <c r="AM330" s="58"/>
      <c r="AN330" s="58"/>
      <c r="AO330" s="58"/>
      <c r="AP330" s="58"/>
      <c r="AQ330" s="58"/>
      <c r="AR330" s="58"/>
      <c r="AS330" s="58"/>
    </row>
    <row r="331" spans="1:45" x14ac:dyDescent="0.25">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c r="AA331" s="58"/>
      <c r="AB331" s="58"/>
      <c r="AC331" s="58"/>
      <c r="AD331" s="58"/>
      <c r="AE331" s="58"/>
      <c r="AF331" s="58"/>
      <c r="AG331" s="58"/>
      <c r="AH331" s="58"/>
      <c r="AI331" s="58"/>
      <c r="AJ331" s="58"/>
      <c r="AK331" s="58"/>
      <c r="AL331" s="58"/>
      <c r="AM331" s="58"/>
      <c r="AN331" s="58"/>
      <c r="AO331" s="58"/>
      <c r="AP331" s="58"/>
      <c r="AQ331" s="58"/>
      <c r="AR331" s="58"/>
      <c r="AS331" s="58"/>
    </row>
    <row r="332" spans="1:45" x14ac:dyDescent="0.25">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c r="AA332" s="58"/>
      <c r="AB332" s="58"/>
      <c r="AC332" s="58"/>
      <c r="AD332" s="58"/>
      <c r="AE332" s="58"/>
      <c r="AF332" s="58"/>
      <c r="AG332" s="58"/>
      <c r="AH332" s="58"/>
      <c r="AI332" s="58"/>
      <c r="AJ332" s="58"/>
      <c r="AK332" s="58"/>
      <c r="AL332" s="58"/>
      <c r="AM332" s="58"/>
      <c r="AN332" s="58"/>
      <c r="AO332" s="58"/>
      <c r="AP332" s="58"/>
      <c r="AQ332" s="58"/>
      <c r="AR332" s="58"/>
      <c r="AS332" s="58"/>
    </row>
    <row r="333" spans="1:45" x14ac:dyDescent="0.25">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c r="AA333" s="58"/>
      <c r="AB333" s="58"/>
      <c r="AC333" s="58"/>
      <c r="AD333" s="58"/>
      <c r="AE333" s="58"/>
      <c r="AF333" s="58"/>
      <c r="AG333" s="58"/>
      <c r="AH333" s="58"/>
      <c r="AI333" s="58"/>
      <c r="AJ333" s="58"/>
      <c r="AK333" s="58"/>
      <c r="AL333" s="58"/>
      <c r="AM333" s="58"/>
      <c r="AN333" s="58"/>
      <c r="AO333" s="58"/>
      <c r="AP333" s="58"/>
      <c r="AQ333" s="58"/>
      <c r="AR333" s="58"/>
      <c r="AS333" s="58"/>
    </row>
    <row r="334" spans="1:45" x14ac:dyDescent="0.25">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c r="AA334" s="58"/>
      <c r="AB334" s="58"/>
      <c r="AC334" s="58"/>
      <c r="AD334" s="58"/>
      <c r="AE334" s="58"/>
      <c r="AF334" s="58"/>
      <c r="AG334" s="58"/>
      <c r="AH334" s="58"/>
      <c r="AI334" s="58"/>
      <c r="AJ334" s="58"/>
      <c r="AK334" s="58"/>
      <c r="AL334" s="58"/>
      <c r="AM334" s="58"/>
      <c r="AN334" s="58"/>
      <c r="AO334" s="58"/>
      <c r="AP334" s="58"/>
      <c r="AQ334" s="58"/>
      <c r="AR334" s="58"/>
      <c r="AS334" s="58"/>
    </row>
    <row r="335" spans="1:45" x14ac:dyDescent="0.25">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c r="AA335" s="58"/>
      <c r="AB335" s="58"/>
      <c r="AC335" s="58"/>
      <c r="AD335" s="58"/>
      <c r="AE335" s="58"/>
      <c r="AF335" s="58"/>
      <c r="AG335" s="58"/>
      <c r="AH335" s="58"/>
      <c r="AI335" s="58"/>
      <c r="AJ335" s="58"/>
      <c r="AK335" s="58"/>
      <c r="AL335" s="58"/>
      <c r="AM335" s="58"/>
      <c r="AN335" s="58"/>
      <c r="AO335" s="58"/>
      <c r="AP335" s="58"/>
      <c r="AQ335" s="58"/>
      <c r="AR335" s="58"/>
      <c r="AS335" s="58"/>
    </row>
    <row r="336" spans="1:45" x14ac:dyDescent="0.25">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c r="AA336" s="58"/>
      <c r="AB336" s="58"/>
      <c r="AC336" s="58"/>
      <c r="AD336" s="58"/>
      <c r="AE336" s="58"/>
      <c r="AF336" s="58"/>
      <c r="AG336" s="58"/>
      <c r="AH336" s="58"/>
      <c r="AI336" s="58"/>
      <c r="AJ336" s="58"/>
      <c r="AK336" s="58"/>
      <c r="AL336" s="58"/>
      <c r="AM336" s="58"/>
      <c r="AN336" s="58"/>
      <c r="AO336" s="58"/>
      <c r="AP336" s="58"/>
      <c r="AQ336" s="58"/>
      <c r="AR336" s="58"/>
      <c r="AS336" s="58"/>
    </row>
    <row r="337" spans="1:45" x14ac:dyDescent="0.25">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c r="AA337" s="58"/>
      <c r="AB337" s="58"/>
      <c r="AC337" s="58"/>
      <c r="AD337" s="58"/>
      <c r="AE337" s="58"/>
      <c r="AF337" s="58"/>
      <c r="AG337" s="58"/>
      <c r="AH337" s="58"/>
      <c r="AI337" s="58"/>
      <c r="AJ337" s="58"/>
      <c r="AK337" s="58"/>
      <c r="AL337" s="58"/>
      <c r="AM337" s="58"/>
      <c r="AN337" s="58"/>
      <c r="AO337" s="58"/>
      <c r="AP337" s="58"/>
      <c r="AQ337" s="58"/>
      <c r="AR337" s="58"/>
      <c r="AS337" s="58"/>
    </row>
    <row r="338" spans="1:45" x14ac:dyDescent="0.25">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c r="AA338" s="58"/>
      <c r="AB338" s="58"/>
      <c r="AC338" s="58"/>
      <c r="AD338" s="58"/>
      <c r="AE338" s="58"/>
      <c r="AF338" s="58"/>
      <c r="AG338" s="58"/>
      <c r="AH338" s="58"/>
      <c r="AI338" s="58"/>
      <c r="AJ338" s="58"/>
      <c r="AK338" s="58"/>
      <c r="AL338" s="58"/>
      <c r="AM338" s="58"/>
      <c r="AN338" s="58"/>
      <c r="AO338" s="58"/>
      <c r="AP338" s="58"/>
      <c r="AQ338" s="58"/>
      <c r="AR338" s="58"/>
      <c r="AS338" s="58"/>
    </row>
    <row r="339" spans="1:45" x14ac:dyDescent="0.25">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c r="AA339" s="58"/>
      <c r="AB339" s="58"/>
      <c r="AC339" s="58"/>
      <c r="AD339" s="58"/>
      <c r="AE339" s="58"/>
      <c r="AF339" s="58"/>
      <c r="AG339" s="58"/>
      <c r="AH339" s="58"/>
      <c r="AI339" s="58"/>
      <c r="AJ339" s="58"/>
      <c r="AK339" s="58"/>
      <c r="AL339" s="58"/>
      <c r="AM339" s="58"/>
      <c r="AN339" s="58"/>
      <c r="AO339" s="58"/>
      <c r="AP339" s="58"/>
      <c r="AQ339" s="58"/>
      <c r="AR339" s="58"/>
      <c r="AS339" s="58"/>
    </row>
    <row r="340" spans="1:45" x14ac:dyDescent="0.25">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c r="AA340" s="58"/>
      <c r="AB340" s="58"/>
      <c r="AC340" s="58"/>
      <c r="AD340" s="58"/>
      <c r="AE340" s="58"/>
      <c r="AF340" s="58"/>
      <c r="AG340" s="58"/>
      <c r="AH340" s="58"/>
      <c r="AI340" s="58"/>
      <c r="AJ340" s="58"/>
      <c r="AK340" s="58"/>
      <c r="AL340" s="58"/>
      <c r="AM340" s="58"/>
      <c r="AN340" s="58"/>
      <c r="AO340" s="58"/>
      <c r="AP340" s="58"/>
      <c r="AQ340" s="58"/>
      <c r="AR340" s="58"/>
      <c r="AS340" s="58"/>
    </row>
    <row r="341" spans="1:45" x14ac:dyDescent="0.25">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c r="AA341" s="58"/>
      <c r="AB341" s="58"/>
      <c r="AC341" s="58"/>
      <c r="AD341" s="58"/>
      <c r="AE341" s="58"/>
      <c r="AF341" s="58"/>
      <c r="AG341" s="58"/>
      <c r="AH341" s="58"/>
      <c r="AI341" s="58"/>
      <c r="AJ341" s="58"/>
      <c r="AK341" s="58"/>
      <c r="AL341" s="58"/>
      <c r="AM341" s="58"/>
      <c r="AN341" s="58"/>
      <c r="AO341" s="58"/>
      <c r="AP341" s="58"/>
      <c r="AQ341" s="58"/>
      <c r="AR341" s="58"/>
      <c r="AS341" s="58"/>
    </row>
    <row r="342" spans="1:45" x14ac:dyDescent="0.25">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c r="AA342" s="58"/>
      <c r="AB342" s="58"/>
      <c r="AC342" s="58"/>
      <c r="AD342" s="58"/>
      <c r="AE342" s="58"/>
      <c r="AF342" s="58"/>
      <c r="AG342" s="58"/>
      <c r="AH342" s="58"/>
      <c r="AI342" s="58"/>
      <c r="AJ342" s="58"/>
      <c r="AK342" s="58"/>
      <c r="AL342" s="58"/>
      <c r="AM342" s="58"/>
      <c r="AN342" s="58"/>
      <c r="AO342" s="58"/>
      <c r="AP342" s="58"/>
      <c r="AQ342" s="58"/>
      <c r="AR342" s="58"/>
      <c r="AS342" s="58"/>
    </row>
    <row r="343" spans="1:45" x14ac:dyDescent="0.25">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c r="AA343" s="58"/>
      <c r="AB343" s="58"/>
      <c r="AC343" s="58"/>
      <c r="AD343" s="58"/>
      <c r="AE343" s="58"/>
      <c r="AF343" s="58"/>
      <c r="AG343" s="58"/>
      <c r="AH343" s="58"/>
      <c r="AI343" s="58"/>
      <c r="AJ343" s="58"/>
      <c r="AK343" s="58"/>
      <c r="AL343" s="58"/>
      <c r="AM343" s="58"/>
      <c r="AN343" s="58"/>
      <c r="AO343" s="58"/>
      <c r="AP343" s="58"/>
      <c r="AQ343" s="58"/>
      <c r="AR343" s="58"/>
      <c r="AS343" s="58"/>
    </row>
    <row r="344" spans="1:45" x14ac:dyDescent="0.25">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c r="AA344" s="58"/>
      <c r="AB344" s="58"/>
      <c r="AC344" s="58"/>
      <c r="AD344" s="58"/>
      <c r="AE344" s="58"/>
      <c r="AF344" s="58"/>
      <c r="AG344" s="58"/>
      <c r="AH344" s="58"/>
      <c r="AI344" s="58"/>
      <c r="AJ344" s="58"/>
      <c r="AK344" s="58"/>
      <c r="AL344" s="58"/>
      <c r="AM344" s="58"/>
      <c r="AN344" s="58"/>
      <c r="AO344" s="58"/>
      <c r="AP344" s="58"/>
      <c r="AQ344" s="58"/>
      <c r="AR344" s="58"/>
      <c r="AS344" s="58"/>
    </row>
    <row r="345" spans="1:45" x14ac:dyDescent="0.25">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c r="AA345" s="58"/>
      <c r="AB345" s="58"/>
      <c r="AC345" s="58"/>
      <c r="AD345" s="58"/>
      <c r="AE345" s="58"/>
      <c r="AF345" s="58"/>
      <c r="AG345" s="58"/>
      <c r="AH345" s="58"/>
      <c r="AI345" s="58"/>
      <c r="AJ345" s="58"/>
      <c r="AK345" s="58"/>
      <c r="AL345" s="58"/>
      <c r="AM345" s="58"/>
      <c r="AN345" s="58"/>
      <c r="AO345" s="58"/>
      <c r="AP345" s="58"/>
      <c r="AQ345" s="58"/>
      <c r="AR345" s="58"/>
      <c r="AS345" s="58"/>
    </row>
    <row r="346" spans="1:45" x14ac:dyDescent="0.25">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c r="AA346" s="58"/>
      <c r="AB346" s="58"/>
      <c r="AC346" s="58"/>
      <c r="AD346" s="58"/>
      <c r="AE346" s="58"/>
      <c r="AF346" s="58"/>
      <c r="AG346" s="58"/>
      <c r="AH346" s="58"/>
      <c r="AI346" s="58"/>
      <c r="AJ346" s="58"/>
      <c r="AK346" s="58"/>
      <c r="AL346" s="58"/>
      <c r="AM346" s="58"/>
      <c r="AN346" s="58"/>
      <c r="AO346" s="58"/>
      <c r="AP346" s="58"/>
      <c r="AQ346" s="58"/>
      <c r="AR346" s="58"/>
      <c r="AS346" s="58"/>
    </row>
    <row r="347" spans="1:45" x14ac:dyDescent="0.25">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c r="AA347" s="58"/>
      <c r="AB347" s="58"/>
      <c r="AC347" s="58"/>
      <c r="AD347" s="58"/>
      <c r="AE347" s="58"/>
      <c r="AF347" s="58"/>
      <c r="AG347" s="58"/>
      <c r="AH347" s="58"/>
      <c r="AI347" s="58"/>
      <c r="AJ347" s="58"/>
      <c r="AK347" s="58"/>
      <c r="AL347" s="58"/>
      <c r="AM347" s="58"/>
      <c r="AN347" s="58"/>
      <c r="AO347" s="58"/>
      <c r="AP347" s="58"/>
      <c r="AQ347" s="58"/>
      <c r="AR347" s="58"/>
      <c r="AS347" s="58"/>
    </row>
    <row r="348" spans="1:45" x14ac:dyDescent="0.25">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c r="AA348" s="58"/>
      <c r="AB348" s="58"/>
      <c r="AC348" s="58"/>
      <c r="AD348" s="58"/>
      <c r="AE348" s="58"/>
      <c r="AF348" s="58"/>
      <c r="AG348" s="58"/>
      <c r="AH348" s="58"/>
      <c r="AI348" s="58"/>
      <c r="AJ348" s="58"/>
      <c r="AK348" s="58"/>
      <c r="AL348" s="58"/>
      <c r="AM348" s="58"/>
      <c r="AN348" s="58"/>
      <c r="AO348" s="58"/>
      <c r="AP348" s="58"/>
      <c r="AQ348" s="58"/>
      <c r="AR348" s="58"/>
      <c r="AS348" s="58"/>
    </row>
    <row r="349" spans="1:45" x14ac:dyDescent="0.25">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c r="AA349" s="58"/>
      <c r="AB349" s="58"/>
      <c r="AC349" s="58"/>
      <c r="AD349" s="58"/>
      <c r="AE349" s="58"/>
      <c r="AF349" s="58"/>
      <c r="AG349" s="58"/>
      <c r="AH349" s="58"/>
      <c r="AI349" s="58"/>
      <c r="AJ349" s="58"/>
      <c r="AK349" s="58"/>
      <c r="AL349" s="58"/>
      <c r="AM349" s="58"/>
      <c r="AN349" s="58"/>
      <c r="AO349" s="58"/>
      <c r="AP349" s="58"/>
      <c r="AQ349" s="58"/>
      <c r="AR349" s="58"/>
      <c r="AS349" s="58"/>
    </row>
    <row r="350" spans="1:45" x14ac:dyDescent="0.25">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c r="AA350" s="58"/>
      <c r="AB350" s="58"/>
      <c r="AC350" s="58"/>
      <c r="AD350" s="58"/>
      <c r="AE350" s="58"/>
      <c r="AF350" s="58"/>
      <c r="AG350" s="58"/>
      <c r="AH350" s="58"/>
      <c r="AI350" s="58"/>
      <c r="AJ350" s="58"/>
      <c r="AK350" s="58"/>
      <c r="AL350" s="58"/>
      <c r="AM350" s="58"/>
      <c r="AN350" s="58"/>
      <c r="AO350" s="58"/>
      <c r="AP350" s="58"/>
      <c r="AQ350" s="58"/>
      <c r="AR350" s="58"/>
      <c r="AS350" s="58"/>
    </row>
    <row r="351" spans="1:45" x14ac:dyDescent="0.25">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c r="AA351" s="58"/>
      <c r="AB351" s="58"/>
      <c r="AC351" s="58"/>
      <c r="AD351" s="58"/>
      <c r="AE351" s="58"/>
      <c r="AF351" s="58"/>
      <c r="AG351" s="58"/>
      <c r="AH351" s="58"/>
      <c r="AI351" s="58"/>
      <c r="AJ351" s="58"/>
      <c r="AK351" s="58"/>
      <c r="AL351" s="58"/>
      <c r="AM351" s="58"/>
      <c r="AN351" s="58"/>
      <c r="AO351" s="58"/>
      <c r="AP351" s="58"/>
      <c r="AQ351" s="58"/>
      <c r="AR351" s="58"/>
      <c r="AS351" s="58"/>
    </row>
    <row r="352" spans="1:45" x14ac:dyDescent="0.25">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c r="AA352" s="58"/>
      <c r="AB352" s="58"/>
      <c r="AC352" s="58"/>
      <c r="AD352" s="58"/>
      <c r="AE352" s="58"/>
      <c r="AF352" s="58"/>
      <c r="AG352" s="58"/>
      <c r="AH352" s="58"/>
      <c r="AI352" s="58"/>
      <c r="AJ352" s="58"/>
      <c r="AK352" s="58"/>
      <c r="AL352" s="58"/>
      <c r="AM352" s="58"/>
      <c r="AN352" s="58"/>
      <c r="AO352" s="58"/>
      <c r="AP352" s="58"/>
      <c r="AQ352" s="58"/>
      <c r="AR352" s="58"/>
      <c r="AS352" s="58"/>
    </row>
    <row r="353" spans="1:45" x14ac:dyDescent="0.25">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c r="AA353" s="58"/>
      <c r="AB353" s="58"/>
      <c r="AC353" s="58"/>
      <c r="AD353" s="58"/>
      <c r="AE353" s="58"/>
      <c r="AF353" s="58"/>
      <c r="AG353" s="58"/>
      <c r="AH353" s="58"/>
      <c r="AI353" s="58"/>
      <c r="AJ353" s="58"/>
      <c r="AK353" s="58"/>
      <c r="AL353" s="58"/>
      <c r="AM353" s="58"/>
      <c r="AN353" s="58"/>
      <c r="AO353" s="58"/>
      <c r="AP353" s="58"/>
      <c r="AQ353" s="58"/>
      <c r="AR353" s="58"/>
      <c r="AS353" s="58"/>
    </row>
    <row r="354" spans="1:45" x14ac:dyDescent="0.25">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c r="AA354" s="58"/>
      <c r="AB354" s="58"/>
      <c r="AC354" s="58"/>
      <c r="AD354" s="58"/>
      <c r="AE354" s="58"/>
      <c r="AF354" s="58"/>
      <c r="AG354" s="58"/>
      <c r="AH354" s="58"/>
      <c r="AI354" s="58"/>
      <c r="AJ354" s="58"/>
      <c r="AK354" s="58"/>
      <c r="AL354" s="58"/>
      <c r="AM354" s="58"/>
      <c r="AN354" s="58"/>
      <c r="AO354" s="58"/>
      <c r="AP354" s="58"/>
      <c r="AQ354" s="58"/>
      <c r="AR354" s="58"/>
      <c r="AS354" s="58"/>
    </row>
    <row r="355" spans="1:45" x14ac:dyDescent="0.25">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c r="AA355" s="58"/>
      <c r="AB355" s="58"/>
      <c r="AC355" s="58"/>
      <c r="AD355" s="58"/>
      <c r="AE355" s="58"/>
      <c r="AF355" s="58"/>
      <c r="AG355" s="58"/>
      <c r="AH355" s="58"/>
      <c r="AI355" s="58"/>
      <c r="AJ355" s="58"/>
      <c r="AK355" s="58"/>
      <c r="AL355" s="58"/>
      <c r="AM355" s="58"/>
      <c r="AN355" s="58"/>
      <c r="AO355" s="58"/>
      <c r="AP355" s="58"/>
      <c r="AQ355" s="58"/>
      <c r="AR355" s="58"/>
      <c r="AS355" s="58"/>
    </row>
    <row r="356" spans="1:45" x14ac:dyDescent="0.25">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row>
    <row r="357" spans="1:45" x14ac:dyDescent="0.25">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c r="AA357" s="58"/>
      <c r="AB357" s="58"/>
      <c r="AC357" s="58"/>
      <c r="AD357" s="58"/>
      <c r="AE357" s="58"/>
      <c r="AF357" s="58"/>
      <c r="AG357" s="58"/>
      <c r="AH357" s="58"/>
      <c r="AI357" s="58"/>
      <c r="AJ357" s="58"/>
      <c r="AK357" s="58"/>
      <c r="AL357" s="58"/>
      <c r="AM357" s="58"/>
      <c r="AN357" s="58"/>
      <c r="AO357" s="58"/>
      <c r="AP357" s="58"/>
      <c r="AQ357" s="58"/>
      <c r="AR357" s="58"/>
      <c r="AS357" s="58"/>
    </row>
    <row r="358" spans="1:45" x14ac:dyDescent="0.25">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c r="AA358" s="58"/>
      <c r="AB358" s="58"/>
      <c r="AC358" s="58"/>
      <c r="AD358" s="58"/>
      <c r="AE358" s="58"/>
      <c r="AF358" s="58"/>
      <c r="AG358" s="58"/>
      <c r="AH358" s="58"/>
      <c r="AI358" s="58"/>
      <c r="AJ358" s="58"/>
      <c r="AK358" s="58"/>
      <c r="AL358" s="58"/>
      <c r="AM358" s="58"/>
      <c r="AN358" s="58"/>
      <c r="AO358" s="58"/>
      <c r="AP358" s="58"/>
      <c r="AQ358" s="58"/>
      <c r="AR358" s="58"/>
      <c r="AS358" s="58"/>
    </row>
    <row r="359" spans="1:45" x14ac:dyDescent="0.25">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c r="AA359" s="58"/>
      <c r="AB359" s="58"/>
      <c r="AC359" s="58"/>
      <c r="AD359" s="58"/>
      <c r="AE359" s="58"/>
      <c r="AF359" s="58"/>
      <c r="AG359" s="58"/>
      <c r="AH359" s="58"/>
      <c r="AI359" s="58"/>
      <c r="AJ359" s="58"/>
      <c r="AK359" s="58"/>
      <c r="AL359" s="58"/>
      <c r="AM359" s="58"/>
      <c r="AN359" s="58"/>
      <c r="AO359" s="58"/>
      <c r="AP359" s="58"/>
      <c r="AQ359" s="58"/>
      <c r="AR359" s="58"/>
      <c r="AS359" s="58"/>
    </row>
    <row r="360" spans="1:45" x14ac:dyDescent="0.25">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c r="AA360" s="58"/>
      <c r="AB360" s="58"/>
      <c r="AC360" s="58"/>
      <c r="AD360" s="58"/>
      <c r="AE360" s="58"/>
      <c r="AF360" s="58"/>
      <c r="AG360" s="58"/>
      <c r="AH360" s="58"/>
      <c r="AI360" s="58"/>
      <c r="AJ360" s="58"/>
      <c r="AK360" s="58"/>
      <c r="AL360" s="58"/>
      <c r="AM360" s="58"/>
      <c r="AN360" s="58"/>
      <c r="AO360" s="58"/>
      <c r="AP360" s="58"/>
      <c r="AQ360" s="58"/>
      <c r="AR360" s="58"/>
      <c r="AS360" s="58"/>
    </row>
    <row r="361" spans="1:45" x14ac:dyDescent="0.25">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c r="AA361" s="58"/>
      <c r="AB361" s="58"/>
      <c r="AC361" s="58"/>
      <c r="AD361" s="58"/>
      <c r="AE361" s="58"/>
      <c r="AF361" s="58"/>
      <c r="AG361" s="58"/>
      <c r="AH361" s="58"/>
      <c r="AI361" s="58"/>
      <c r="AJ361" s="58"/>
      <c r="AK361" s="58"/>
      <c r="AL361" s="58"/>
      <c r="AM361" s="58"/>
      <c r="AN361" s="58"/>
      <c r="AO361" s="58"/>
      <c r="AP361" s="58"/>
      <c r="AQ361" s="58"/>
      <c r="AR361" s="58"/>
      <c r="AS361" s="58"/>
    </row>
    <row r="362" spans="1:45" x14ac:dyDescent="0.25">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c r="AA362" s="58"/>
      <c r="AB362" s="58"/>
      <c r="AC362" s="58"/>
      <c r="AD362" s="58"/>
      <c r="AE362" s="58"/>
      <c r="AF362" s="58"/>
      <c r="AG362" s="58"/>
      <c r="AH362" s="58"/>
      <c r="AI362" s="58"/>
      <c r="AJ362" s="58"/>
      <c r="AK362" s="58"/>
      <c r="AL362" s="58"/>
      <c r="AM362" s="58"/>
      <c r="AN362" s="58"/>
      <c r="AO362" s="58"/>
      <c r="AP362" s="58"/>
      <c r="AQ362" s="58"/>
      <c r="AR362" s="58"/>
      <c r="AS362" s="58"/>
    </row>
    <row r="363" spans="1:45" x14ac:dyDescent="0.25">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c r="AA363" s="58"/>
      <c r="AB363" s="58"/>
      <c r="AC363" s="58"/>
      <c r="AD363" s="58"/>
      <c r="AE363" s="58"/>
      <c r="AF363" s="58"/>
      <c r="AG363" s="58"/>
      <c r="AH363" s="58"/>
      <c r="AI363" s="58"/>
      <c r="AJ363" s="58"/>
      <c r="AK363" s="58"/>
      <c r="AL363" s="58"/>
      <c r="AM363" s="58"/>
      <c r="AN363" s="58"/>
      <c r="AO363" s="58"/>
      <c r="AP363" s="58"/>
      <c r="AQ363" s="58"/>
      <c r="AR363" s="58"/>
      <c r="AS363" s="58"/>
    </row>
    <row r="364" spans="1:45" x14ac:dyDescent="0.25">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c r="AA364" s="58"/>
      <c r="AB364" s="58"/>
      <c r="AC364" s="58"/>
      <c r="AD364" s="58"/>
      <c r="AE364" s="58"/>
      <c r="AF364" s="58"/>
      <c r="AG364" s="58"/>
      <c r="AH364" s="58"/>
      <c r="AI364" s="58"/>
      <c r="AJ364" s="58"/>
      <c r="AK364" s="58"/>
      <c r="AL364" s="58"/>
      <c r="AM364" s="58"/>
      <c r="AN364" s="58"/>
      <c r="AO364" s="58"/>
      <c r="AP364" s="58"/>
      <c r="AQ364" s="58"/>
      <c r="AR364" s="58"/>
      <c r="AS364" s="58"/>
    </row>
    <row r="365" spans="1:45" x14ac:dyDescent="0.25">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c r="AA365" s="58"/>
      <c r="AB365" s="58"/>
      <c r="AC365" s="58"/>
      <c r="AD365" s="58"/>
      <c r="AE365" s="58"/>
      <c r="AF365" s="58"/>
      <c r="AG365" s="58"/>
      <c r="AH365" s="58"/>
      <c r="AI365" s="58"/>
      <c r="AJ365" s="58"/>
      <c r="AK365" s="58"/>
      <c r="AL365" s="58"/>
      <c r="AM365" s="58"/>
      <c r="AN365" s="58"/>
      <c r="AO365" s="58"/>
      <c r="AP365" s="58"/>
      <c r="AQ365" s="58"/>
      <c r="AR365" s="58"/>
      <c r="AS365" s="58"/>
    </row>
    <row r="366" spans="1:45" x14ac:dyDescent="0.25">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c r="AA366" s="58"/>
      <c r="AB366" s="58"/>
      <c r="AC366" s="58"/>
      <c r="AD366" s="58"/>
      <c r="AE366" s="58"/>
      <c r="AF366" s="58"/>
      <c r="AG366" s="58"/>
      <c r="AH366" s="58"/>
      <c r="AI366" s="58"/>
      <c r="AJ366" s="58"/>
      <c r="AK366" s="58"/>
      <c r="AL366" s="58"/>
      <c r="AM366" s="58"/>
      <c r="AN366" s="58"/>
      <c r="AO366" s="58"/>
      <c r="AP366" s="58"/>
      <c r="AQ366" s="58"/>
      <c r="AR366" s="58"/>
      <c r="AS366" s="58"/>
    </row>
    <row r="367" spans="1:45" x14ac:dyDescent="0.25">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c r="AA367" s="58"/>
      <c r="AB367" s="58"/>
      <c r="AC367" s="58"/>
      <c r="AD367" s="58"/>
      <c r="AE367" s="58"/>
      <c r="AF367" s="58"/>
      <c r="AG367" s="58"/>
      <c r="AH367" s="58"/>
      <c r="AI367" s="58"/>
      <c r="AJ367" s="58"/>
      <c r="AK367" s="58"/>
      <c r="AL367" s="58"/>
      <c r="AM367" s="58"/>
      <c r="AN367" s="58"/>
      <c r="AO367" s="58"/>
      <c r="AP367" s="58"/>
      <c r="AQ367" s="58"/>
      <c r="AR367" s="58"/>
      <c r="AS367" s="58"/>
    </row>
    <row r="368" spans="1:45" x14ac:dyDescent="0.25">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c r="AA368" s="58"/>
      <c r="AB368" s="58"/>
      <c r="AC368" s="58"/>
      <c r="AD368" s="58"/>
      <c r="AE368" s="58"/>
      <c r="AF368" s="58"/>
      <c r="AG368" s="58"/>
      <c r="AH368" s="58"/>
      <c r="AI368" s="58"/>
      <c r="AJ368" s="58"/>
      <c r="AK368" s="58"/>
      <c r="AL368" s="58"/>
      <c r="AM368" s="58"/>
      <c r="AN368" s="58"/>
      <c r="AO368" s="58"/>
      <c r="AP368" s="58"/>
      <c r="AQ368" s="58"/>
      <c r="AR368" s="58"/>
      <c r="AS368" s="58"/>
    </row>
    <row r="369" spans="1:45" x14ac:dyDescent="0.25">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c r="AA369" s="58"/>
      <c r="AB369" s="58"/>
      <c r="AC369" s="58"/>
      <c r="AD369" s="58"/>
      <c r="AE369" s="58"/>
      <c r="AF369" s="58"/>
      <c r="AG369" s="58"/>
      <c r="AH369" s="58"/>
      <c r="AI369" s="58"/>
      <c r="AJ369" s="58"/>
      <c r="AK369" s="58"/>
      <c r="AL369" s="58"/>
      <c r="AM369" s="58"/>
      <c r="AN369" s="58"/>
      <c r="AO369" s="58"/>
      <c r="AP369" s="58"/>
      <c r="AQ369" s="58"/>
      <c r="AR369" s="58"/>
      <c r="AS369" s="58"/>
    </row>
    <row r="370" spans="1:45" x14ac:dyDescent="0.25">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c r="AA370" s="58"/>
      <c r="AB370" s="58"/>
      <c r="AC370" s="58"/>
      <c r="AD370" s="58"/>
      <c r="AE370" s="58"/>
      <c r="AF370" s="58"/>
      <c r="AG370" s="58"/>
      <c r="AH370" s="58"/>
      <c r="AI370" s="58"/>
      <c r="AJ370" s="58"/>
      <c r="AK370" s="58"/>
      <c r="AL370" s="58"/>
      <c r="AM370" s="58"/>
      <c r="AN370" s="58"/>
      <c r="AO370" s="58"/>
      <c r="AP370" s="58"/>
      <c r="AQ370" s="58"/>
      <c r="AR370" s="58"/>
      <c r="AS370" s="58"/>
    </row>
    <row r="371" spans="1:45" x14ac:dyDescent="0.25">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c r="AA371" s="58"/>
      <c r="AB371" s="58"/>
      <c r="AC371" s="58"/>
      <c r="AD371" s="58"/>
      <c r="AE371" s="58"/>
      <c r="AF371" s="58"/>
      <c r="AG371" s="58"/>
      <c r="AH371" s="58"/>
      <c r="AI371" s="58"/>
      <c r="AJ371" s="58"/>
      <c r="AK371" s="58"/>
      <c r="AL371" s="58"/>
      <c r="AM371" s="58"/>
      <c r="AN371" s="58"/>
      <c r="AO371" s="58"/>
      <c r="AP371" s="58"/>
      <c r="AQ371" s="58"/>
      <c r="AR371" s="58"/>
      <c r="AS371" s="58"/>
    </row>
    <row r="372" spans="1:45" x14ac:dyDescent="0.25">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c r="AA372" s="58"/>
      <c r="AB372" s="58"/>
      <c r="AC372" s="58"/>
      <c r="AD372" s="58"/>
      <c r="AE372" s="58"/>
      <c r="AF372" s="58"/>
      <c r="AG372" s="58"/>
      <c r="AH372" s="58"/>
      <c r="AI372" s="58"/>
      <c r="AJ372" s="58"/>
      <c r="AK372" s="58"/>
      <c r="AL372" s="58"/>
      <c r="AM372" s="58"/>
      <c r="AN372" s="58"/>
      <c r="AO372" s="58"/>
      <c r="AP372" s="58"/>
      <c r="AQ372" s="58"/>
      <c r="AR372" s="58"/>
      <c r="AS372" s="58"/>
    </row>
    <row r="373" spans="1:45" x14ac:dyDescent="0.25">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c r="AA373" s="58"/>
      <c r="AB373" s="58"/>
      <c r="AC373" s="58"/>
      <c r="AD373" s="58"/>
      <c r="AE373" s="58"/>
      <c r="AF373" s="58"/>
      <c r="AG373" s="58"/>
      <c r="AH373" s="58"/>
      <c r="AI373" s="58"/>
      <c r="AJ373" s="58"/>
      <c r="AK373" s="58"/>
      <c r="AL373" s="58"/>
      <c r="AM373" s="58"/>
      <c r="AN373" s="58"/>
      <c r="AO373" s="58"/>
      <c r="AP373" s="58"/>
      <c r="AQ373" s="58"/>
      <c r="AR373" s="58"/>
      <c r="AS373" s="58"/>
    </row>
    <row r="374" spans="1:45" x14ac:dyDescent="0.25">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c r="AA374" s="58"/>
      <c r="AB374" s="58"/>
      <c r="AC374" s="58"/>
      <c r="AD374" s="58"/>
      <c r="AE374" s="58"/>
      <c r="AF374" s="58"/>
      <c r="AG374" s="58"/>
      <c r="AH374" s="58"/>
      <c r="AI374" s="58"/>
      <c r="AJ374" s="58"/>
      <c r="AK374" s="58"/>
      <c r="AL374" s="58"/>
      <c r="AM374" s="58"/>
      <c r="AN374" s="58"/>
      <c r="AO374" s="58"/>
      <c r="AP374" s="58"/>
      <c r="AQ374" s="58"/>
      <c r="AR374" s="58"/>
      <c r="AS374" s="58"/>
    </row>
    <row r="375" spans="1:45" x14ac:dyDescent="0.25">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c r="AA375" s="58"/>
      <c r="AB375" s="58"/>
      <c r="AC375" s="58"/>
      <c r="AD375" s="58"/>
      <c r="AE375" s="58"/>
      <c r="AF375" s="58"/>
      <c r="AG375" s="58"/>
      <c r="AH375" s="58"/>
      <c r="AI375" s="58"/>
      <c r="AJ375" s="58"/>
      <c r="AK375" s="58"/>
      <c r="AL375" s="58"/>
      <c r="AM375" s="58"/>
      <c r="AN375" s="58"/>
      <c r="AO375" s="58"/>
      <c r="AP375" s="58"/>
      <c r="AQ375" s="58"/>
      <c r="AR375" s="58"/>
      <c r="AS375" s="58"/>
    </row>
    <row r="376" spans="1:45" x14ac:dyDescent="0.25">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c r="AA376" s="58"/>
      <c r="AB376" s="58"/>
      <c r="AC376" s="58"/>
      <c r="AD376" s="58"/>
      <c r="AE376" s="58"/>
      <c r="AF376" s="58"/>
      <c r="AG376" s="58"/>
      <c r="AH376" s="58"/>
      <c r="AI376" s="58"/>
      <c r="AJ376" s="58"/>
      <c r="AK376" s="58"/>
      <c r="AL376" s="58"/>
      <c r="AM376" s="58"/>
      <c r="AN376" s="58"/>
      <c r="AO376" s="58"/>
      <c r="AP376" s="58"/>
      <c r="AQ376" s="58"/>
      <c r="AR376" s="58"/>
      <c r="AS376" s="58"/>
    </row>
    <row r="377" spans="1:45" x14ac:dyDescent="0.25">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c r="AA377" s="58"/>
      <c r="AB377" s="58"/>
      <c r="AC377" s="58"/>
      <c r="AD377" s="58"/>
      <c r="AE377" s="58"/>
      <c r="AF377" s="58"/>
      <c r="AG377" s="58"/>
      <c r="AH377" s="58"/>
      <c r="AI377" s="58"/>
      <c r="AJ377" s="58"/>
      <c r="AK377" s="58"/>
      <c r="AL377" s="58"/>
      <c r="AM377" s="58"/>
      <c r="AN377" s="58"/>
      <c r="AO377" s="58"/>
      <c r="AP377" s="58"/>
      <c r="AQ377" s="58"/>
      <c r="AR377" s="58"/>
      <c r="AS377" s="58"/>
    </row>
    <row r="378" spans="1:45" x14ac:dyDescent="0.25">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c r="AA378" s="58"/>
      <c r="AB378" s="58"/>
      <c r="AC378" s="58"/>
      <c r="AD378" s="58"/>
      <c r="AE378" s="58"/>
      <c r="AF378" s="58"/>
      <c r="AG378" s="58"/>
      <c r="AH378" s="58"/>
      <c r="AI378" s="58"/>
      <c r="AJ378" s="58"/>
      <c r="AK378" s="58"/>
      <c r="AL378" s="58"/>
      <c r="AM378" s="58"/>
      <c r="AN378" s="58"/>
      <c r="AO378" s="58"/>
      <c r="AP378" s="58"/>
      <c r="AQ378" s="58"/>
      <c r="AR378" s="58"/>
      <c r="AS378" s="58"/>
    </row>
    <row r="379" spans="1:45" x14ac:dyDescent="0.25">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c r="AA379" s="58"/>
      <c r="AB379" s="58"/>
      <c r="AC379" s="58"/>
      <c r="AD379" s="58"/>
      <c r="AE379" s="58"/>
      <c r="AF379" s="58"/>
      <c r="AG379" s="58"/>
      <c r="AH379" s="58"/>
      <c r="AI379" s="58"/>
      <c r="AJ379" s="58"/>
      <c r="AK379" s="58"/>
      <c r="AL379" s="58"/>
      <c r="AM379" s="58"/>
      <c r="AN379" s="58"/>
      <c r="AO379" s="58"/>
      <c r="AP379" s="58"/>
      <c r="AQ379" s="58"/>
      <c r="AR379" s="58"/>
      <c r="AS379" s="58"/>
    </row>
    <row r="380" spans="1:45" x14ac:dyDescent="0.25">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c r="AA380" s="58"/>
      <c r="AB380" s="58"/>
      <c r="AC380" s="58"/>
      <c r="AD380" s="58"/>
      <c r="AE380" s="58"/>
      <c r="AF380" s="58"/>
      <c r="AG380" s="58"/>
      <c r="AH380" s="58"/>
      <c r="AI380" s="58"/>
      <c r="AJ380" s="58"/>
      <c r="AK380" s="58"/>
      <c r="AL380" s="58"/>
      <c r="AM380" s="58"/>
      <c r="AN380" s="58"/>
      <c r="AO380" s="58"/>
      <c r="AP380" s="58"/>
      <c r="AQ380" s="58"/>
      <c r="AR380" s="58"/>
      <c r="AS380" s="58"/>
    </row>
    <row r="381" spans="1:45" x14ac:dyDescent="0.25">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c r="AA381" s="58"/>
      <c r="AB381" s="58"/>
      <c r="AC381" s="58"/>
      <c r="AD381" s="58"/>
      <c r="AE381" s="58"/>
      <c r="AF381" s="58"/>
      <c r="AG381" s="58"/>
      <c r="AH381" s="58"/>
      <c r="AI381" s="58"/>
      <c r="AJ381" s="58"/>
      <c r="AK381" s="58"/>
      <c r="AL381" s="58"/>
      <c r="AM381" s="58"/>
      <c r="AN381" s="58"/>
      <c r="AO381" s="58"/>
      <c r="AP381" s="58"/>
      <c r="AQ381" s="58"/>
      <c r="AR381" s="58"/>
      <c r="AS381" s="58"/>
    </row>
    <row r="382" spans="1:45" x14ac:dyDescent="0.25">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c r="AA382" s="58"/>
      <c r="AB382" s="58"/>
      <c r="AC382" s="58"/>
      <c r="AD382" s="58"/>
      <c r="AE382" s="58"/>
      <c r="AF382" s="58"/>
      <c r="AG382" s="58"/>
      <c r="AH382" s="58"/>
      <c r="AI382" s="58"/>
      <c r="AJ382" s="58"/>
      <c r="AK382" s="58"/>
      <c r="AL382" s="58"/>
      <c r="AM382" s="58"/>
      <c r="AN382" s="58"/>
      <c r="AO382" s="58"/>
      <c r="AP382" s="58"/>
      <c r="AQ382" s="58"/>
      <c r="AR382" s="58"/>
      <c r="AS382" s="58"/>
    </row>
    <row r="383" spans="1:45" x14ac:dyDescent="0.25">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c r="AA383" s="58"/>
      <c r="AB383" s="58"/>
      <c r="AC383" s="58"/>
      <c r="AD383" s="58"/>
      <c r="AE383" s="58"/>
      <c r="AF383" s="58"/>
      <c r="AG383" s="58"/>
      <c r="AH383" s="58"/>
      <c r="AI383" s="58"/>
      <c r="AJ383" s="58"/>
      <c r="AK383" s="58"/>
      <c r="AL383" s="58"/>
      <c r="AM383" s="58"/>
      <c r="AN383" s="58"/>
      <c r="AO383" s="58"/>
      <c r="AP383" s="58"/>
      <c r="AQ383" s="58"/>
      <c r="AR383" s="58"/>
      <c r="AS383" s="58"/>
    </row>
    <row r="384" spans="1:45" x14ac:dyDescent="0.25">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c r="AA384" s="58"/>
      <c r="AB384" s="58"/>
      <c r="AC384" s="58"/>
      <c r="AD384" s="58"/>
      <c r="AE384" s="58"/>
      <c r="AF384" s="58"/>
      <c r="AG384" s="58"/>
      <c r="AH384" s="58"/>
      <c r="AI384" s="58"/>
      <c r="AJ384" s="58"/>
      <c r="AK384" s="58"/>
      <c r="AL384" s="58"/>
      <c r="AM384" s="58"/>
      <c r="AN384" s="58"/>
      <c r="AO384" s="58"/>
      <c r="AP384" s="58"/>
      <c r="AQ384" s="58"/>
      <c r="AR384" s="58"/>
      <c r="AS384" s="58"/>
    </row>
    <row r="385" spans="1:45" x14ac:dyDescent="0.25">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c r="AA385" s="58"/>
      <c r="AB385" s="58"/>
      <c r="AC385" s="58"/>
      <c r="AD385" s="58"/>
      <c r="AE385" s="58"/>
      <c r="AF385" s="58"/>
      <c r="AG385" s="58"/>
      <c r="AH385" s="58"/>
      <c r="AI385" s="58"/>
      <c r="AJ385" s="58"/>
      <c r="AK385" s="58"/>
      <c r="AL385" s="58"/>
      <c r="AM385" s="58"/>
      <c r="AN385" s="58"/>
      <c r="AO385" s="58"/>
      <c r="AP385" s="58"/>
      <c r="AQ385" s="58"/>
      <c r="AR385" s="58"/>
      <c r="AS385" s="58"/>
    </row>
    <row r="386" spans="1:45" x14ac:dyDescent="0.25">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c r="AA386" s="58"/>
      <c r="AB386" s="58"/>
      <c r="AC386" s="58"/>
      <c r="AD386" s="58"/>
      <c r="AE386" s="58"/>
      <c r="AF386" s="58"/>
      <c r="AG386" s="58"/>
      <c r="AH386" s="58"/>
      <c r="AI386" s="58"/>
      <c r="AJ386" s="58"/>
      <c r="AK386" s="58"/>
      <c r="AL386" s="58"/>
      <c r="AM386" s="58"/>
      <c r="AN386" s="58"/>
      <c r="AO386" s="58"/>
      <c r="AP386" s="58"/>
      <c r="AQ386" s="58"/>
      <c r="AR386" s="58"/>
      <c r="AS386" s="58"/>
    </row>
    <row r="387" spans="1:45" x14ac:dyDescent="0.25">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c r="AA387" s="58"/>
      <c r="AB387" s="58"/>
      <c r="AC387" s="58"/>
      <c r="AD387" s="58"/>
      <c r="AE387" s="58"/>
      <c r="AF387" s="58"/>
      <c r="AG387" s="58"/>
      <c r="AH387" s="58"/>
      <c r="AI387" s="58"/>
      <c r="AJ387" s="58"/>
      <c r="AK387" s="58"/>
      <c r="AL387" s="58"/>
      <c r="AM387" s="58"/>
      <c r="AN387" s="58"/>
      <c r="AO387" s="58"/>
      <c r="AP387" s="58"/>
      <c r="AQ387" s="58"/>
      <c r="AR387" s="58"/>
      <c r="AS387" s="58"/>
    </row>
    <row r="388" spans="1:45" x14ac:dyDescent="0.25">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c r="AA388" s="58"/>
      <c r="AB388" s="58"/>
      <c r="AC388" s="58"/>
      <c r="AD388" s="58"/>
      <c r="AE388" s="58"/>
      <c r="AF388" s="58"/>
      <c r="AG388" s="58"/>
      <c r="AH388" s="58"/>
      <c r="AI388" s="58"/>
      <c r="AJ388" s="58"/>
      <c r="AK388" s="58"/>
      <c r="AL388" s="58"/>
      <c r="AM388" s="58"/>
      <c r="AN388" s="58"/>
      <c r="AO388" s="58"/>
      <c r="AP388" s="58"/>
      <c r="AQ388" s="58"/>
      <c r="AR388" s="58"/>
      <c r="AS388" s="58"/>
    </row>
    <row r="389" spans="1:45" x14ac:dyDescent="0.25">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c r="AA389" s="58"/>
      <c r="AB389" s="58"/>
      <c r="AC389" s="58"/>
      <c r="AD389" s="58"/>
      <c r="AE389" s="58"/>
      <c r="AF389" s="58"/>
      <c r="AG389" s="58"/>
      <c r="AH389" s="58"/>
      <c r="AI389" s="58"/>
      <c r="AJ389" s="58"/>
      <c r="AK389" s="58"/>
      <c r="AL389" s="58"/>
      <c r="AM389" s="58"/>
      <c r="AN389" s="58"/>
      <c r="AO389" s="58"/>
      <c r="AP389" s="58"/>
      <c r="AQ389" s="58"/>
      <c r="AR389" s="58"/>
      <c r="AS389" s="58"/>
    </row>
    <row r="390" spans="1:45" x14ac:dyDescent="0.25">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c r="AA390" s="58"/>
      <c r="AB390" s="58"/>
      <c r="AC390" s="58"/>
      <c r="AD390" s="58"/>
      <c r="AE390" s="58"/>
      <c r="AF390" s="58"/>
      <c r="AG390" s="58"/>
      <c r="AH390" s="58"/>
      <c r="AI390" s="58"/>
      <c r="AJ390" s="58"/>
      <c r="AK390" s="58"/>
      <c r="AL390" s="58"/>
      <c r="AM390" s="58"/>
      <c r="AN390" s="58"/>
      <c r="AO390" s="58"/>
      <c r="AP390" s="58"/>
      <c r="AQ390" s="58"/>
      <c r="AR390" s="58"/>
      <c r="AS390" s="58"/>
    </row>
    <row r="391" spans="1:45" x14ac:dyDescent="0.25">
      <c r="A391" s="58"/>
      <c r="J391" s="58"/>
      <c r="K391" s="58"/>
      <c r="L391" s="58"/>
      <c r="M391" s="58"/>
      <c r="N391" s="58"/>
      <c r="O391" s="58"/>
      <c r="P391" s="58"/>
      <c r="Q391" s="58"/>
      <c r="R391" s="58"/>
      <c r="S391" s="58"/>
      <c r="T391" s="58"/>
      <c r="U391" s="58"/>
      <c r="V391" s="58"/>
      <c r="W391" s="58"/>
      <c r="X391" s="58"/>
      <c r="Y391" s="58"/>
      <c r="Z391" s="58"/>
      <c r="AA391" s="58"/>
      <c r="AB391" s="58"/>
      <c r="AC391" s="58"/>
      <c r="AD391" s="58"/>
      <c r="AE391" s="58"/>
      <c r="AF391" s="58"/>
      <c r="AG391" s="58"/>
      <c r="AH391" s="58"/>
      <c r="AI391" s="58"/>
      <c r="AJ391" s="58"/>
      <c r="AK391" s="58"/>
      <c r="AL391" s="58"/>
      <c r="AM391" s="58"/>
      <c r="AN391" s="58"/>
      <c r="AO391" s="58"/>
      <c r="AP391" s="58"/>
      <c r="AQ391" s="58"/>
      <c r="AR391" s="58"/>
      <c r="AS391" s="58"/>
    </row>
    <row r="392" spans="1:45" x14ac:dyDescent="0.25">
      <c r="A392" s="58"/>
      <c r="J392" s="58"/>
      <c r="K392" s="58"/>
      <c r="L392" s="58"/>
      <c r="M392" s="58"/>
      <c r="N392" s="58"/>
      <c r="O392" s="58"/>
      <c r="P392" s="58"/>
      <c r="Q392" s="58"/>
      <c r="R392" s="58"/>
      <c r="S392" s="58"/>
      <c r="T392" s="58"/>
      <c r="U392" s="58"/>
      <c r="V392" s="58"/>
      <c r="W392" s="58"/>
      <c r="X392" s="58"/>
      <c r="Y392" s="58"/>
      <c r="Z392" s="58"/>
      <c r="AA392" s="58"/>
      <c r="AB392" s="58"/>
      <c r="AC392" s="58"/>
      <c r="AD392" s="58"/>
      <c r="AE392" s="58"/>
      <c r="AF392" s="58"/>
      <c r="AG392" s="58"/>
      <c r="AH392" s="58"/>
      <c r="AI392" s="58"/>
      <c r="AJ392" s="58"/>
      <c r="AK392" s="58"/>
      <c r="AL392" s="58"/>
      <c r="AM392" s="58"/>
      <c r="AN392" s="58"/>
      <c r="AO392" s="58"/>
      <c r="AP392" s="58"/>
      <c r="AQ392" s="58"/>
      <c r="AR392" s="58"/>
      <c r="AS392" s="58"/>
    </row>
    <row r="393" spans="1:45" x14ac:dyDescent="0.25">
      <c r="A393" s="58"/>
      <c r="J393" s="58"/>
      <c r="K393" s="58"/>
      <c r="L393" s="58"/>
      <c r="M393" s="58"/>
      <c r="N393" s="58"/>
      <c r="O393" s="58"/>
      <c r="P393" s="58"/>
      <c r="Q393" s="58"/>
      <c r="R393" s="58"/>
      <c r="S393" s="58"/>
      <c r="T393" s="58"/>
      <c r="U393" s="58"/>
      <c r="V393" s="58"/>
      <c r="W393" s="58"/>
      <c r="X393" s="58"/>
      <c r="Y393" s="58"/>
      <c r="Z393" s="58"/>
      <c r="AA393" s="58"/>
      <c r="AB393" s="58"/>
      <c r="AC393" s="58"/>
      <c r="AD393" s="58"/>
      <c r="AE393" s="58"/>
      <c r="AF393" s="58"/>
      <c r="AG393" s="58"/>
      <c r="AH393" s="58"/>
      <c r="AI393" s="58"/>
      <c r="AJ393" s="58"/>
      <c r="AK393" s="58"/>
      <c r="AL393" s="58"/>
      <c r="AM393" s="58"/>
      <c r="AN393" s="58"/>
      <c r="AO393" s="58"/>
      <c r="AP393" s="58"/>
      <c r="AQ393" s="58"/>
      <c r="AR393" s="58"/>
      <c r="AS393" s="58"/>
    </row>
    <row r="394" spans="1:45" x14ac:dyDescent="0.25">
      <c r="A394" s="58"/>
      <c r="J394" s="58"/>
      <c r="K394" s="58"/>
      <c r="L394" s="58"/>
      <c r="M394" s="58"/>
      <c r="N394" s="58"/>
      <c r="O394" s="58"/>
      <c r="P394" s="58"/>
      <c r="Q394" s="58"/>
      <c r="R394" s="58"/>
      <c r="S394" s="58"/>
      <c r="T394" s="58"/>
      <c r="U394" s="58"/>
      <c r="V394" s="58"/>
      <c r="W394" s="58"/>
      <c r="X394" s="58"/>
      <c r="Y394" s="58"/>
      <c r="Z394" s="58"/>
      <c r="AA394" s="58"/>
      <c r="AB394" s="58"/>
      <c r="AC394" s="58"/>
      <c r="AD394" s="58"/>
      <c r="AE394" s="58"/>
      <c r="AF394" s="58"/>
      <c r="AG394" s="58"/>
      <c r="AH394" s="58"/>
      <c r="AI394" s="58"/>
      <c r="AJ394" s="58"/>
      <c r="AK394" s="58"/>
      <c r="AL394" s="58"/>
      <c r="AM394" s="58"/>
      <c r="AN394" s="58"/>
      <c r="AO394" s="58"/>
      <c r="AP394" s="58"/>
      <c r="AQ394" s="58"/>
      <c r="AR394" s="58"/>
      <c r="AS394" s="58"/>
    </row>
    <row r="395" spans="1:45" x14ac:dyDescent="0.25">
      <c r="A395" s="58"/>
      <c r="J395" s="58"/>
      <c r="K395" s="58"/>
      <c r="L395" s="58"/>
      <c r="M395" s="58"/>
      <c r="N395" s="58"/>
      <c r="O395" s="58"/>
      <c r="P395" s="58"/>
      <c r="Q395" s="58"/>
      <c r="R395" s="58"/>
      <c r="S395" s="58"/>
      <c r="T395" s="58"/>
      <c r="U395" s="58"/>
      <c r="V395" s="58"/>
      <c r="W395" s="58"/>
      <c r="X395" s="58"/>
      <c r="Y395" s="58"/>
      <c r="Z395" s="58"/>
      <c r="AA395" s="58"/>
      <c r="AB395" s="58"/>
      <c r="AC395" s="58"/>
      <c r="AD395" s="58"/>
      <c r="AE395" s="58"/>
      <c r="AF395" s="58"/>
      <c r="AG395" s="58"/>
      <c r="AH395" s="58"/>
      <c r="AI395" s="58"/>
      <c r="AJ395" s="58"/>
      <c r="AK395" s="58"/>
      <c r="AL395" s="58"/>
      <c r="AM395" s="58"/>
      <c r="AN395" s="58"/>
      <c r="AO395" s="58"/>
      <c r="AP395" s="58"/>
      <c r="AQ395" s="58"/>
      <c r="AR395" s="58"/>
      <c r="AS395" s="58"/>
    </row>
    <row r="396" spans="1:45" x14ac:dyDescent="0.25">
      <c r="A396" s="58"/>
      <c r="J396" s="58"/>
      <c r="K396" s="58"/>
      <c r="L396" s="58"/>
      <c r="M396" s="58"/>
      <c r="N396" s="58"/>
      <c r="O396" s="58"/>
      <c r="P396" s="58"/>
      <c r="Q396" s="58"/>
      <c r="R396" s="58"/>
      <c r="S396" s="58"/>
      <c r="T396" s="58"/>
      <c r="U396" s="58"/>
      <c r="V396" s="58"/>
      <c r="W396" s="58"/>
      <c r="X396" s="58"/>
      <c r="Y396" s="58"/>
      <c r="Z396" s="58"/>
      <c r="AA396" s="58"/>
      <c r="AB396" s="58"/>
      <c r="AC396" s="58"/>
      <c r="AD396" s="58"/>
      <c r="AE396" s="58"/>
      <c r="AF396" s="58"/>
      <c r="AG396" s="58"/>
      <c r="AH396" s="58"/>
      <c r="AI396" s="58"/>
      <c r="AJ396" s="58"/>
      <c r="AK396" s="58"/>
      <c r="AL396" s="58"/>
      <c r="AM396" s="58"/>
      <c r="AN396" s="58"/>
      <c r="AO396" s="58"/>
      <c r="AP396" s="58"/>
      <c r="AQ396" s="58"/>
      <c r="AR396" s="58"/>
      <c r="AS396" s="58"/>
    </row>
    <row r="397" spans="1:45" x14ac:dyDescent="0.25">
      <c r="A397" s="58"/>
      <c r="J397" s="58"/>
      <c r="K397" s="58"/>
      <c r="L397" s="58"/>
      <c r="M397" s="58"/>
      <c r="N397" s="58"/>
      <c r="O397" s="58"/>
      <c r="P397" s="58"/>
      <c r="Q397" s="58"/>
      <c r="R397" s="58"/>
      <c r="S397" s="58"/>
      <c r="T397" s="58"/>
      <c r="U397" s="58"/>
      <c r="V397" s="58"/>
      <c r="W397" s="58"/>
      <c r="X397" s="58"/>
      <c r="Y397" s="58"/>
      <c r="Z397" s="58"/>
      <c r="AA397" s="58"/>
      <c r="AB397" s="58"/>
      <c r="AC397" s="58"/>
      <c r="AD397" s="58"/>
      <c r="AE397" s="58"/>
      <c r="AF397" s="58"/>
      <c r="AG397" s="58"/>
      <c r="AH397" s="58"/>
      <c r="AI397" s="58"/>
      <c r="AJ397" s="58"/>
      <c r="AK397" s="58"/>
      <c r="AL397" s="58"/>
      <c r="AM397" s="58"/>
      <c r="AN397" s="58"/>
      <c r="AO397" s="58"/>
      <c r="AP397" s="58"/>
      <c r="AQ397" s="58"/>
      <c r="AR397" s="58"/>
      <c r="AS397" s="58"/>
    </row>
    <row r="398" spans="1:45" x14ac:dyDescent="0.25">
      <c r="A398" s="58"/>
      <c r="J398" s="58"/>
      <c r="K398" s="58"/>
      <c r="L398" s="58"/>
      <c r="M398" s="58"/>
      <c r="N398" s="58"/>
      <c r="O398" s="58"/>
      <c r="P398" s="58"/>
      <c r="Q398" s="58"/>
      <c r="R398" s="58"/>
      <c r="S398" s="58"/>
      <c r="T398" s="58"/>
      <c r="U398" s="58"/>
      <c r="V398" s="58"/>
      <c r="W398" s="58"/>
      <c r="X398" s="58"/>
      <c r="Y398" s="58"/>
      <c r="Z398" s="58"/>
      <c r="AA398" s="58"/>
      <c r="AB398" s="58"/>
      <c r="AC398" s="58"/>
      <c r="AD398" s="58"/>
      <c r="AE398" s="58"/>
      <c r="AF398" s="58"/>
      <c r="AG398" s="58"/>
      <c r="AH398" s="58"/>
      <c r="AI398" s="58"/>
      <c r="AJ398" s="58"/>
      <c r="AK398" s="58"/>
      <c r="AL398" s="58"/>
      <c r="AM398" s="58"/>
      <c r="AN398" s="58"/>
      <c r="AO398" s="58"/>
      <c r="AP398" s="58"/>
      <c r="AQ398" s="58"/>
      <c r="AR398" s="58"/>
      <c r="AS398" s="58"/>
    </row>
    <row r="399" spans="1:45" x14ac:dyDescent="0.25">
      <c r="A399" s="58"/>
      <c r="J399" s="58"/>
      <c r="K399" s="58"/>
      <c r="L399" s="58"/>
      <c r="M399" s="58"/>
      <c r="N399" s="58"/>
      <c r="O399" s="58"/>
      <c r="P399" s="58"/>
      <c r="Q399" s="58"/>
      <c r="R399" s="58"/>
      <c r="S399" s="58"/>
      <c r="T399" s="58"/>
      <c r="U399" s="58"/>
      <c r="V399" s="58"/>
      <c r="W399" s="58"/>
      <c r="X399" s="58"/>
      <c r="Y399" s="58"/>
      <c r="Z399" s="58"/>
      <c r="AA399" s="58"/>
      <c r="AB399" s="58"/>
      <c r="AC399" s="58"/>
      <c r="AD399" s="58"/>
      <c r="AE399" s="58"/>
      <c r="AF399" s="58"/>
      <c r="AG399" s="58"/>
      <c r="AH399" s="58"/>
      <c r="AI399" s="58"/>
      <c r="AJ399" s="58"/>
      <c r="AK399" s="58"/>
      <c r="AL399" s="58"/>
      <c r="AM399" s="58"/>
      <c r="AN399" s="58"/>
      <c r="AO399" s="58"/>
      <c r="AP399" s="58"/>
      <c r="AQ399" s="58"/>
      <c r="AR399" s="58"/>
      <c r="AS399" s="58"/>
    </row>
    <row r="400" spans="1:45" x14ac:dyDescent="0.25">
      <c r="A400" s="58"/>
      <c r="J400" s="58"/>
      <c r="K400" s="58"/>
      <c r="L400" s="58"/>
      <c r="M400" s="58"/>
      <c r="N400" s="58"/>
      <c r="O400" s="58"/>
      <c r="P400" s="58"/>
      <c r="Q400" s="58"/>
      <c r="R400" s="58"/>
      <c r="S400" s="58"/>
      <c r="T400" s="58"/>
      <c r="U400" s="58"/>
      <c r="V400" s="58"/>
      <c r="W400" s="58"/>
      <c r="X400" s="58"/>
      <c r="Y400" s="58"/>
      <c r="Z400" s="58"/>
      <c r="AA400" s="58"/>
      <c r="AB400" s="58"/>
      <c r="AC400" s="58"/>
      <c r="AD400" s="58"/>
      <c r="AE400" s="58"/>
      <c r="AF400" s="58"/>
      <c r="AG400" s="58"/>
      <c r="AH400" s="58"/>
      <c r="AI400" s="58"/>
      <c r="AJ400" s="58"/>
      <c r="AK400" s="58"/>
      <c r="AL400" s="58"/>
      <c r="AM400" s="58"/>
      <c r="AN400" s="58"/>
      <c r="AO400" s="58"/>
      <c r="AP400" s="58"/>
      <c r="AQ400" s="58"/>
      <c r="AR400" s="58"/>
      <c r="AS400" s="58"/>
    </row>
    <row r="401" spans="1:45" x14ac:dyDescent="0.25">
      <c r="A401" s="58"/>
      <c r="J401" s="58"/>
      <c r="K401" s="58"/>
      <c r="L401" s="58"/>
      <c r="M401" s="58"/>
      <c r="N401" s="58"/>
      <c r="O401" s="58"/>
      <c r="P401" s="58"/>
      <c r="Q401" s="58"/>
      <c r="R401" s="58"/>
      <c r="S401" s="58"/>
      <c r="T401" s="58"/>
      <c r="U401" s="58"/>
      <c r="V401" s="58"/>
      <c r="W401" s="58"/>
      <c r="X401" s="58"/>
      <c r="Y401" s="58"/>
      <c r="Z401" s="58"/>
      <c r="AA401" s="58"/>
      <c r="AB401" s="58"/>
      <c r="AC401" s="58"/>
      <c r="AD401" s="58"/>
      <c r="AE401" s="58"/>
      <c r="AF401" s="58"/>
      <c r="AG401" s="58"/>
      <c r="AH401" s="58"/>
      <c r="AI401" s="58"/>
      <c r="AJ401" s="58"/>
      <c r="AK401" s="58"/>
      <c r="AL401" s="58"/>
      <c r="AM401" s="58"/>
      <c r="AN401" s="58"/>
      <c r="AO401" s="58"/>
      <c r="AP401" s="58"/>
      <c r="AQ401" s="58"/>
      <c r="AR401" s="58"/>
      <c r="AS401" s="58"/>
    </row>
    <row r="402" spans="1:45" x14ac:dyDescent="0.25">
      <c r="A402" s="58"/>
      <c r="J402" s="58"/>
      <c r="K402" s="58"/>
      <c r="L402" s="58"/>
      <c r="M402" s="58"/>
      <c r="N402" s="58"/>
      <c r="O402" s="58"/>
      <c r="P402" s="58"/>
      <c r="Q402" s="58"/>
      <c r="R402" s="58"/>
      <c r="S402" s="58"/>
      <c r="T402" s="58"/>
      <c r="U402" s="58"/>
      <c r="V402" s="58"/>
      <c r="W402" s="58"/>
      <c r="X402" s="58"/>
      <c r="Y402" s="58"/>
      <c r="Z402" s="58"/>
      <c r="AA402" s="58"/>
      <c r="AB402" s="58"/>
      <c r="AC402" s="58"/>
      <c r="AD402" s="58"/>
      <c r="AE402" s="58"/>
      <c r="AF402" s="58"/>
      <c r="AG402" s="58"/>
      <c r="AH402" s="58"/>
      <c r="AI402" s="58"/>
      <c r="AJ402" s="58"/>
      <c r="AK402" s="58"/>
      <c r="AL402" s="58"/>
      <c r="AM402" s="58"/>
      <c r="AN402" s="58"/>
      <c r="AO402" s="58"/>
      <c r="AP402" s="58"/>
      <c r="AQ402" s="58"/>
      <c r="AR402" s="58"/>
      <c r="AS402" s="58"/>
    </row>
    <row r="403" spans="1:45" x14ac:dyDescent="0.25">
      <c r="A403" s="58"/>
      <c r="J403" s="58"/>
      <c r="K403" s="58"/>
      <c r="L403" s="58"/>
      <c r="M403" s="58"/>
      <c r="N403" s="58"/>
      <c r="O403" s="58"/>
      <c r="P403" s="58"/>
      <c r="Q403" s="58"/>
      <c r="R403" s="58"/>
      <c r="S403" s="58"/>
      <c r="T403" s="58"/>
      <c r="U403" s="58"/>
      <c r="V403" s="58"/>
      <c r="W403" s="58"/>
      <c r="X403" s="58"/>
      <c r="Y403" s="58"/>
      <c r="Z403" s="58"/>
      <c r="AA403" s="58"/>
      <c r="AB403" s="58"/>
      <c r="AC403" s="58"/>
      <c r="AD403" s="58"/>
      <c r="AE403" s="58"/>
      <c r="AF403" s="58"/>
      <c r="AG403" s="58"/>
      <c r="AH403" s="58"/>
      <c r="AI403" s="58"/>
      <c r="AJ403" s="58"/>
      <c r="AK403" s="58"/>
      <c r="AL403" s="58"/>
      <c r="AM403" s="58"/>
      <c r="AN403" s="58"/>
      <c r="AO403" s="58"/>
      <c r="AP403" s="58"/>
      <c r="AQ403" s="58"/>
      <c r="AR403" s="58"/>
      <c r="AS403" s="58"/>
    </row>
    <row r="404" spans="1:45" x14ac:dyDescent="0.25">
      <c r="A404" s="58"/>
      <c r="J404" s="58"/>
      <c r="K404" s="58"/>
      <c r="L404" s="58"/>
      <c r="M404" s="58"/>
      <c r="N404" s="58"/>
      <c r="O404" s="58"/>
      <c r="P404" s="58"/>
      <c r="Q404" s="58"/>
      <c r="R404" s="58"/>
      <c r="S404" s="58"/>
      <c r="T404" s="58"/>
      <c r="U404" s="58"/>
      <c r="V404" s="58"/>
      <c r="W404" s="58"/>
      <c r="X404" s="58"/>
      <c r="Y404" s="58"/>
      <c r="Z404" s="58"/>
      <c r="AA404" s="58"/>
      <c r="AB404" s="58"/>
      <c r="AC404" s="58"/>
      <c r="AD404" s="58"/>
      <c r="AE404" s="58"/>
      <c r="AF404" s="58"/>
      <c r="AG404" s="58"/>
      <c r="AH404" s="58"/>
      <c r="AI404" s="58"/>
      <c r="AJ404" s="58"/>
      <c r="AK404" s="58"/>
      <c r="AL404" s="58"/>
      <c r="AM404" s="58"/>
      <c r="AN404" s="58"/>
      <c r="AO404" s="58"/>
      <c r="AP404" s="58"/>
      <c r="AQ404" s="58"/>
      <c r="AR404" s="58"/>
      <c r="AS404" s="58"/>
    </row>
    <row r="405" spans="1:45" x14ac:dyDescent="0.25">
      <c r="A405" s="58"/>
      <c r="J405" s="58"/>
      <c r="K405" s="58"/>
      <c r="L405" s="58"/>
      <c r="M405" s="58"/>
      <c r="N405" s="58"/>
      <c r="O405" s="58"/>
      <c r="P405" s="58"/>
      <c r="Q405" s="58"/>
      <c r="R405" s="58"/>
      <c r="S405" s="58"/>
      <c r="T405" s="58"/>
      <c r="U405" s="58"/>
      <c r="V405" s="58"/>
      <c r="W405" s="58"/>
      <c r="X405" s="58"/>
      <c r="Y405" s="58"/>
      <c r="Z405" s="58"/>
      <c r="AA405" s="58"/>
      <c r="AB405" s="58"/>
      <c r="AC405" s="58"/>
      <c r="AD405" s="58"/>
      <c r="AE405" s="58"/>
      <c r="AF405" s="58"/>
      <c r="AG405" s="58"/>
      <c r="AH405" s="58"/>
      <c r="AI405" s="58"/>
      <c r="AJ405" s="58"/>
      <c r="AK405" s="58"/>
      <c r="AL405" s="58"/>
      <c r="AM405" s="58"/>
      <c r="AN405" s="58"/>
      <c r="AO405" s="58"/>
      <c r="AP405" s="58"/>
      <c r="AQ405" s="58"/>
      <c r="AR405" s="58"/>
      <c r="AS405" s="58"/>
    </row>
    <row r="406" spans="1:45" x14ac:dyDescent="0.25">
      <c r="A406" s="58"/>
      <c r="J406" s="58"/>
      <c r="K406" s="58"/>
      <c r="L406" s="58"/>
      <c r="M406" s="58"/>
      <c r="N406" s="58"/>
      <c r="O406" s="58"/>
      <c r="P406" s="58"/>
      <c r="Q406" s="58"/>
      <c r="R406" s="58"/>
      <c r="S406" s="58"/>
      <c r="T406" s="58"/>
      <c r="U406" s="58"/>
      <c r="V406" s="58"/>
      <c r="W406" s="58"/>
      <c r="X406" s="58"/>
      <c r="Y406" s="58"/>
      <c r="Z406" s="58"/>
      <c r="AA406" s="58"/>
      <c r="AB406" s="58"/>
      <c r="AC406" s="58"/>
      <c r="AD406" s="58"/>
      <c r="AE406" s="58"/>
      <c r="AF406" s="58"/>
      <c r="AG406" s="58"/>
      <c r="AH406" s="58"/>
      <c r="AI406" s="58"/>
      <c r="AJ406" s="58"/>
      <c r="AK406" s="58"/>
      <c r="AL406" s="58"/>
      <c r="AM406" s="58"/>
      <c r="AN406" s="58"/>
      <c r="AO406" s="58"/>
      <c r="AP406" s="58"/>
      <c r="AQ406" s="58"/>
      <c r="AR406" s="58"/>
      <c r="AS406" s="58"/>
    </row>
    <row r="407" spans="1:45" x14ac:dyDescent="0.25">
      <c r="A407" s="58"/>
      <c r="J407" s="58"/>
      <c r="K407" s="58"/>
      <c r="L407" s="58"/>
      <c r="M407" s="58"/>
      <c r="N407" s="58"/>
      <c r="O407" s="58"/>
      <c r="P407" s="58"/>
      <c r="Q407" s="58"/>
      <c r="R407" s="58"/>
      <c r="S407" s="58"/>
      <c r="T407" s="58"/>
      <c r="U407" s="58"/>
      <c r="V407" s="58"/>
      <c r="W407" s="58"/>
      <c r="X407" s="58"/>
      <c r="Y407" s="58"/>
      <c r="Z407" s="58"/>
      <c r="AA407" s="58"/>
      <c r="AB407" s="58"/>
      <c r="AC407" s="58"/>
      <c r="AD407" s="58"/>
      <c r="AE407" s="58"/>
      <c r="AF407" s="58"/>
      <c r="AG407" s="58"/>
      <c r="AH407" s="58"/>
      <c r="AI407" s="58"/>
      <c r="AJ407" s="58"/>
      <c r="AK407" s="58"/>
      <c r="AL407" s="58"/>
      <c r="AM407" s="58"/>
      <c r="AN407" s="58"/>
      <c r="AO407" s="58"/>
      <c r="AP407" s="58"/>
      <c r="AQ407" s="58"/>
      <c r="AR407" s="58"/>
      <c r="AS407" s="58"/>
    </row>
    <row r="408" spans="1:45" x14ac:dyDescent="0.25">
      <c r="A408" s="58"/>
      <c r="J408" s="58"/>
      <c r="K408" s="58"/>
      <c r="L408" s="58"/>
      <c r="M408" s="58"/>
      <c r="N408" s="58"/>
      <c r="O408" s="58"/>
      <c r="P408" s="58"/>
      <c r="Q408" s="58"/>
      <c r="R408" s="58"/>
      <c r="S408" s="58"/>
      <c r="T408" s="58"/>
      <c r="U408" s="58"/>
      <c r="V408" s="58"/>
      <c r="W408" s="58"/>
      <c r="X408" s="58"/>
      <c r="Y408" s="58"/>
      <c r="Z408" s="58"/>
      <c r="AA408" s="58"/>
      <c r="AB408" s="58"/>
      <c r="AC408" s="58"/>
      <c r="AD408" s="58"/>
      <c r="AE408" s="58"/>
      <c r="AF408" s="58"/>
      <c r="AG408" s="58"/>
      <c r="AH408" s="58"/>
      <c r="AI408" s="58"/>
      <c r="AJ408" s="58"/>
      <c r="AK408" s="58"/>
      <c r="AL408" s="58"/>
      <c r="AM408" s="58"/>
      <c r="AN408" s="58"/>
      <c r="AO408" s="58"/>
      <c r="AP408" s="58"/>
      <c r="AQ408" s="58"/>
      <c r="AR408" s="58"/>
      <c r="AS408" s="58"/>
    </row>
    <row r="409" spans="1:45" x14ac:dyDescent="0.25">
      <c r="A409" s="58"/>
      <c r="J409" s="58"/>
      <c r="K409" s="58"/>
      <c r="L409" s="58"/>
      <c r="M409" s="58"/>
      <c r="N409" s="58"/>
      <c r="O409" s="58"/>
      <c r="P409" s="58"/>
      <c r="Q409" s="58"/>
      <c r="R409" s="58"/>
      <c r="S409" s="58"/>
      <c r="T409" s="58"/>
      <c r="U409" s="58"/>
      <c r="V409" s="58"/>
      <c r="W409" s="58"/>
      <c r="X409" s="58"/>
      <c r="Y409" s="58"/>
      <c r="Z409" s="58"/>
      <c r="AA409" s="58"/>
      <c r="AB409" s="58"/>
      <c r="AC409" s="58"/>
      <c r="AD409" s="58"/>
      <c r="AE409" s="58"/>
      <c r="AF409" s="58"/>
      <c r="AG409" s="58"/>
      <c r="AH409" s="58"/>
      <c r="AI409" s="58"/>
      <c r="AJ409" s="58"/>
      <c r="AK409" s="58"/>
      <c r="AL409" s="58"/>
      <c r="AM409" s="58"/>
      <c r="AN409" s="58"/>
      <c r="AO409" s="58"/>
      <c r="AP409" s="58"/>
      <c r="AQ409" s="58"/>
      <c r="AR409" s="58"/>
      <c r="AS409" s="58"/>
    </row>
    <row r="410" spans="1:45" x14ac:dyDescent="0.25">
      <c r="A410" s="58"/>
      <c r="J410" s="58"/>
      <c r="K410" s="58"/>
      <c r="L410" s="58"/>
      <c r="M410" s="58"/>
      <c r="N410" s="58"/>
      <c r="O410" s="58"/>
      <c r="P410" s="58"/>
      <c r="Q410" s="58"/>
      <c r="R410" s="58"/>
      <c r="S410" s="58"/>
      <c r="T410" s="58"/>
      <c r="U410" s="58"/>
      <c r="V410" s="58"/>
      <c r="W410" s="58"/>
      <c r="X410" s="58"/>
      <c r="Y410" s="58"/>
      <c r="Z410" s="58"/>
      <c r="AA410" s="58"/>
      <c r="AB410" s="58"/>
      <c r="AC410" s="58"/>
      <c r="AD410" s="58"/>
      <c r="AE410" s="58"/>
      <c r="AF410" s="58"/>
      <c r="AG410" s="58"/>
      <c r="AH410" s="58"/>
      <c r="AI410" s="58"/>
      <c r="AJ410" s="58"/>
      <c r="AK410" s="58"/>
      <c r="AL410" s="58"/>
      <c r="AM410" s="58"/>
      <c r="AN410" s="58"/>
      <c r="AO410" s="58"/>
      <c r="AP410" s="58"/>
      <c r="AQ410" s="58"/>
      <c r="AR410" s="58"/>
      <c r="AS410" s="58"/>
    </row>
    <row r="411" spans="1:45" x14ac:dyDescent="0.25">
      <c r="A411" s="58"/>
      <c r="J411" s="58"/>
      <c r="K411" s="58"/>
      <c r="L411" s="58"/>
      <c r="M411" s="58"/>
      <c r="N411" s="58"/>
      <c r="O411" s="58"/>
      <c r="P411" s="58"/>
      <c r="Q411" s="58"/>
      <c r="R411" s="58"/>
      <c r="S411" s="58"/>
      <c r="T411" s="58"/>
      <c r="U411" s="58"/>
      <c r="V411" s="58"/>
      <c r="W411" s="58"/>
      <c r="X411" s="58"/>
      <c r="Y411" s="58"/>
      <c r="Z411" s="58"/>
      <c r="AA411" s="58"/>
      <c r="AB411" s="58"/>
      <c r="AC411" s="58"/>
      <c r="AD411" s="58"/>
      <c r="AE411" s="58"/>
      <c r="AF411" s="58"/>
      <c r="AG411" s="58"/>
      <c r="AH411" s="58"/>
      <c r="AI411" s="58"/>
      <c r="AJ411" s="58"/>
      <c r="AK411" s="58"/>
      <c r="AL411" s="58"/>
      <c r="AM411" s="58"/>
      <c r="AN411" s="58"/>
      <c r="AO411" s="58"/>
      <c r="AP411" s="58"/>
      <c r="AQ411" s="58"/>
      <c r="AR411" s="58"/>
      <c r="AS411" s="58"/>
    </row>
    <row r="412" spans="1:45" x14ac:dyDescent="0.25">
      <c r="A412" s="58"/>
      <c r="J412" s="58"/>
      <c r="K412" s="58"/>
      <c r="L412" s="58"/>
      <c r="M412" s="58"/>
      <c r="N412" s="58"/>
      <c r="O412" s="58"/>
      <c r="P412" s="58"/>
      <c r="Q412" s="58"/>
      <c r="R412" s="58"/>
      <c r="S412" s="58"/>
      <c r="T412" s="58"/>
      <c r="U412" s="58"/>
      <c r="V412" s="58"/>
      <c r="W412" s="58"/>
      <c r="X412" s="58"/>
      <c r="Y412" s="58"/>
      <c r="Z412" s="58"/>
      <c r="AA412" s="58"/>
      <c r="AB412" s="58"/>
      <c r="AC412" s="58"/>
      <c r="AD412" s="58"/>
      <c r="AE412" s="58"/>
      <c r="AF412" s="58"/>
      <c r="AG412" s="58"/>
      <c r="AH412" s="58"/>
      <c r="AI412" s="58"/>
      <c r="AJ412" s="58"/>
      <c r="AK412" s="58"/>
      <c r="AL412" s="58"/>
      <c r="AM412" s="58"/>
      <c r="AN412" s="58"/>
      <c r="AO412" s="58"/>
      <c r="AP412" s="58"/>
      <c r="AQ412" s="58"/>
      <c r="AR412" s="58"/>
      <c r="AS412" s="58"/>
    </row>
    <row r="413" spans="1:45" x14ac:dyDescent="0.25">
      <c r="A413" s="58"/>
      <c r="J413" s="58"/>
      <c r="K413" s="58"/>
      <c r="L413" s="58"/>
      <c r="M413" s="58"/>
      <c r="N413" s="58"/>
      <c r="O413" s="58"/>
      <c r="P413" s="58"/>
      <c r="Q413" s="58"/>
      <c r="R413" s="58"/>
      <c r="S413" s="58"/>
      <c r="T413" s="58"/>
      <c r="U413" s="58"/>
      <c r="V413" s="58"/>
      <c r="W413" s="58"/>
      <c r="X413" s="58"/>
      <c r="Y413" s="58"/>
      <c r="Z413" s="58"/>
      <c r="AA413" s="58"/>
      <c r="AB413" s="58"/>
      <c r="AC413" s="58"/>
      <c r="AD413" s="58"/>
      <c r="AE413" s="58"/>
      <c r="AF413" s="58"/>
      <c r="AG413" s="58"/>
      <c r="AH413" s="58"/>
      <c r="AI413" s="58"/>
      <c r="AJ413" s="58"/>
      <c r="AK413" s="58"/>
      <c r="AL413" s="58"/>
      <c r="AM413" s="58"/>
      <c r="AN413" s="58"/>
      <c r="AO413" s="58"/>
      <c r="AP413" s="58"/>
      <c r="AQ413" s="58"/>
      <c r="AR413" s="58"/>
      <c r="AS413" s="58"/>
    </row>
    <row r="414" spans="1:45" x14ac:dyDescent="0.25">
      <c r="A414" s="58"/>
      <c r="J414" s="58"/>
      <c r="K414" s="58"/>
      <c r="L414" s="58"/>
      <c r="M414" s="58"/>
      <c r="N414" s="58"/>
      <c r="O414" s="58"/>
      <c r="P414" s="58"/>
      <c r="Q414" s="58"/>
      <c r="R414" s="58"/>
      <c r="S414" s="58"/>
      <c r="T414" s="58"/>
      <c r="U414" s="58"/>
      <c r="V414" s="58"/>
      <c r="W414" s="58"/>
      <c r="X414" s="58"/>
      <c r="Y414" s="58"/>
      <c r="Z414" s="58"/>
      <c r="AA414" s="58"/>
      <c r="AB414" s="58"/>
      <c r="AC414" s="58"/>
      <c r="AD414" s="58"/>
      <c r="AE414" s="58"/>
      <c r="AF414" s="58"/>
      <c r="AG414" s="58"/>
      <c r="AH414" s="58"/>
      <c r="AI414" s="58"/>
      <c r="AJ414" s="58"/>
      <c r="AK414" s="58"/>
      <c r="AL414" s="58"/>
      <c r="AM414" s="58"/>
      <c r="AN414" s="58"/>
      <c r="AO414" s="58"/>
      <c r="AP414" s="58"/>
      <c r="AQ414" s="58"/>
      <c r="AR414" s="58"/>
      <c r="AS414" s="58"/>
    </row>
    <row r="415" spans="1:45" x14ac:dyDescent="0.25">
      <c r="A415" s="58"/>
      <c r="J415" s="58"/>
      <c r="K415" s="58"/>
      <c r="L415" s="58"/>
      <c r="M415" s="58"/>
      <c r="N415" s="58"/>
      <c r="O415" s="58"/>
      <c r="P415" s="58"/>
      <c r="Q415" s="58"/>
      <c r="R415" s="58"/>
      <c r="S415" s="58"/>
      <c r="T415" s="58"/>
      <c r="U415" s="58"/>
      <c r="V415" s="58"/>
      <c r="W415" s="58"/>
      <c r="X415" s="58"/>
      <c r="Y415" s="58"/>
      <c r="Z415" s="58"/>
      <c r="AA415" s="58"/>
      <c r="AB415" s="58"/>
      <c r="AC415" s="58"/>
      <c r="AD415" s="58"/>
      <c r="AE415" s="58"/>
      <c r="AF415" s="58"/>
      <c r="AG415" s="58"/>
      <c r="AH415" s="58"/>
      <c r="AI415" s="58"/>
      <c r="AJ415" s="58"/>
      <c r="AK415" s="58"/>
      <c r="AL415" s="58"/>
      <c r="AM415" s="58"/>
      <c r="AN415" s="58"/>
      <c r="AO415" s="58"/>
      <c r="AP415" s="58"/>
      <c r="AQ415" s="58"/>
      <c r="AR415" s="58"/>
      <c r="AS415" s="58"/>
    </row>
    <row r="416" spans="1:45" x14ac:dyDescent="0.25">
      <c r="A416" s="58"/>
      <c r="J416" s="58"/>
      <c r="K416" s="58"/>
      <c r="L416" s="58"/>
      <c r="M416" s="58"/>
      <c r="N416" s="58"/>
      <c r="O416" s="58"/>
      <c r="P416" s="58"/>
      <c r="Q416" s="58"/>
      <c r="R416" s="58"/>
      <c r="S416" s="58"/>
      <c r="T416" s="58"/>
      <c r="U416" s="58"/>
      <c r="V416" s="58"/>
      <c r="W416" s="58"/>
      <c r="X416" s="58"/>
      <c r="Y416" s="58"/>
      <c r="Z416" s="58"/>
      <c r="AA416" s="58"/>
      <c r="AB416" s="58"/>
      <c r="AC416" s="58"/>
      <c r="AD416" s="58"/>
      <c r="AE416" s="58"/>
      <c r="AF416" s="58"/>
      <c r="AG416" s="58"/>
      <c r="AH416" s="58"/>
      <c r="AI416" s="58"/>
      <c r="AJ416" s="58"/>
      <c r="AK416" s="58"/>
      <c r="AL416" s="58"/>
      <c r="AM416" s="58"/>
      <c r="AN416" s="58"/>
      <c r="AO416" s="58"/>
      <c r="AP416" s="58"/>
      <c r="AQ416" s="58"/>
      <c r="AR416" s="58"/>
      <c r="AS416" s="58"/>
    </row>
    <row r="417" spans="1:45" x14ac:dyDescent="0.25">
      <c r="A417" s="58"/>
      <c r="J417" s="58"/>
      <c r="K417" s="58"/>
      <c r="L417" s="58"/>
      <c r="M417" s="58"/>
      <c r="N417" s="58"/>
      <c r="O417" s="58"/>
      <c r="P417" s="58"/>
      <c r="Q417" s="58"/>
      <c r="R417" s="58"/>
      <c r="S417" s="58"/>
      <c r="T417" s="58"/>
      <c r="U417" s="58"/>
      <c r="V417" s="58"/>
      <c r="W417" s="58"/>
      <c r="X417" s="58"/>
      <c r="Y417" s="58"/>
      <c r="Z417" s="58"/>
      <c r="AA417" s="58"/>
      <c r="AB417" s="58"/>
      <c r="AC417" s="58"/>
      <c r="AD417" s="58"/>
      <c r="AE417" s="58"/>
      <c r="AF417" s="58"/>
      <c r="AG417" s="58"/>
      <c r="AH417" s="58"/>
      <c r="AI417" s="58"/>
      <c r="AJ417" s="58"/>
      <c r="AK417" s="58"/>
      <c r="AL417" s="58"/>
      <c r="AM417" s="58"/>
      <c r="AN417" s="58"/>
      <c r="AO417" s="58"/>
      <c r="AP417" s="58"/>
      <c r="AQ417" s="58"/>
      <c r="AR417" s="58"/>
      <c r="AS417" s="58"/>
    </row>
    <row r="418" spans="1:45" x14ac:dyDescent="0.25">
      <c r="A418" s="58"/>
      <c r="J418" s="58"/>
      <c r="K418" s="58"/>
      <c r="L418" s="58"/>
      <c r="M418" s="58"/>
      <c r="N418" s="58"/>
      <c r="O418" s="58"/>
      <c r="P418" s="58"/>
      <c r="Q418" s="58"/>
      <c r="R418" s="58"/>
      <c r="S418" s="58"/>
      <c r="T418" s="58"/>
      <c r="U418" s="58"/>
      <c r="V418" s="58"/>
      <c r="W418" s="58"/>
      <c r="X418" s="58"/>
      <c r="Y418" s="58"/>
      <c r="Z418" s="58"/>
      <c r="AA418" s="58"/>
      <c r="AB418" s="58"/>
      <c r="AC418" s="58"/>
      <c r="AD418" s="58"/>
      <c r="AE418" s="58"/>
      <c r="AF418" s="58"/>
      <c r="AG418" s="58"/>
      <c r="AH418" s="58"/>
      <c r="AI418" s="58"/>
      <c r="AJ418" s="58"/>
      <c r="AK418" s="58"/>
      <c r="AL418" s="58"/>
      <c r="AM418" s="58"/>
      <c r="AN418" s="58"/>
      <c r="AO418" s="58"/>
      <c r="AP418" s="58"/>
      <c r="AQ418" s="58"/>
      <c r="AR418" s="58"/>
      <c r="AS418" s="58"/>
    </row>
    <row r="419" spans="1:45" x14ac:dyDescent="0.25">
      <c r="A419" s="58"/>
      <c r="J419" s="58"/>
      <c r="K419" s="58"/>
      <c r="L419" s="58"/>
      <c r="M419" s="58"/>
      <c r="N419" s="58"/>
      <c r="O419" s="58"/>
      <c r="P419" s="58"/>
      <c r="Q419" s="58"/>
      <c r="R419" s="58"/>
      <c r="S419" s="58"/>
      <c r="T419" s="58"/>
      <c r="U419" s="58"/>
      <c r="V419" s="58"/>
      <c r="W419" s="58"/>
      <c r="X419" s="58"/>
      <c r="Y419" s="58"/>
      <c r="Z419" s="58"/>
      <c r="AA419" s="58"/>
      <c r="AB419" s="58"/>
      <c r="AC419" s="58"/>
      <c r="AD419" s="58"/>
      <c r="AE419" s="58"/>
      <c r="AF419" s="58"/>
      <c r="AG419" s="58"/>
      <c r="AH419" s="58"/>
      <c r="AI419" s="58"/>
      <c r="AJ419" s="58"/>
      <c r="AK419" s="58"/>
      <c r="AL419" s="58"/>
      <c r="AM419" s="58"/>
      <c r="AN419" s="58"/>
      <c r="AO419" s="58"/>
      <c r="AP419" s="58"/>
      <c r="AQ419" s="58"/>
      <c r="AR419" s="58"/>
      <c r="AS419" s="58"/>
    </row>
    <row r="420" spans="1:45" x14ac:dyDescent="0.25">
      <c r="A420" s="58"/>
      <c r="J420" s="58"/>
      <c r="K420" s="58"/>
      <c r="L420" s="58"/>
      <c r="M420" s="58"/>
      <c r="N420" s="58"/>
      <c r="O420" s="58"/>
      <c r="P420" s="58"/>
      <c r="Q420" s="58"/>
      <c r="R420" s="58"/>
      <c r="S420" s="58"/>
      <c r="T420" s="58"/>
      <c r="U420" s="58"/>
      <c r="V420" s="58"/>
      <c r="W420" s="58"/>
      <c r="X420" s="58"/>
      <c r="Y420" s="58"/>
      <c r="Z420" s="58"/>
      <c r="AA420" s="58"/>
      <c r="AB420" s="58"/>
      <c r="AC420" s="58"/>
      <c r="AD420" s="58"/>
      <c r="AE420" s="58"/>
      <c r="AF420" s="58"/>
      <c r="AG420" s="58"/>
      <c r="AH420" s="58"/>
      <c r="AI420" s="58"/>
      <c r="AJ420" s="58"/>
      <c r="AK420" s="58"/>
      <c r="AL420" s="58"/>
      <c r="AM420" s="58"/>
      <c r="AN420" s="58"/>
      <c r="AO420" s="58"/>
      <c r="AP420" s="58"/>
      <c r="AQ420" s="58"/>
      <c r="AR420" s="58"/>
      <c r="AS420" s="58"/>
    </row>
    <row r="421" spans="1:45" x14ac:dyDescent="0.25">
      <c r="A421" s="58"/>
      <c r="J421" s="58"/>
      <c r="K421" s="58"/>
      <c r="L421" s="58"/>
      <c r="M421" s="58"/>
      <c r="N421" s="58"/>
      <c r="O421" s="58"/>
      <c r="P421" s="58"/>
      <c r="Q421" s="58"/>
      <c r="R421" s="58"/>
      <c r="S421" s="58"/>
      <c r="T421" s="58"/>
      <c r="U421" s="58"/>
      <c r="V421" s="58"/>
      <c r="W421" s="58"/>
      <c r="X421" s="58"/>
      <c r="Y421" s="58"/>
      <c r="Z421" s="58"/>
      <c r="AA421" s="58"/>
      <c r="AB421" s="58"/>
      <c r="AC421" s="58"/>
      <c r="AD421" s="58"/>
      <c r="AE421" s="58"/>
      <c r="AF421" s="58"/>
      <c r="AG421" s="58"/>
      <c r="AH421" s="58"/>
      <c r="AI421" s="58"/>
      <c r="AJ421" s="58"/>
      <c r="AK421" s="58"/>
      <c r="AL421" s="58"/>
      <c r="AM421" s="58"/>
      <c r="AN421" s="58"/>
      <c r="AO421" s="58"/>
      <c r="AP421" s="58"/>
      <c r="AQ421" s="58"/>
      <c r="AR421" s="58"/>
      <c r="AS421" s="58"/>
    </row>
    <row r="422" spans="1:45" x14ac:dyDescent="0.25">
      <c r="A422" s="58"/>
      <c r="J422" s="58"/>
      <c r="K422" s="58"/>
      <c r="L422" s="58"/>
      <c r="M422" s="58"/>
      <c r="N422" s="58"/>
      <c r="O422" s="58"/>
      <c r="P422" s="58"/>
      <c r="Q422" s="58"/>
      <c r="R422" s="58"/>
      <c r="S422" s="58"/>
      <c r="T422" s="58"/>
      <c r="U422" s="58"/>
      <c r="V422" s="58"/>
      <c r="W422" s="58"/>
      <c r="X422" s="58"/>
      <c r="Y422" s="58"/>
      <c r="Z422" s="58"/>
      <c r="AA422" s="58"/>
      <c r="AB422" s="58"/>
      <c r="AC422" s="58"/>
      <c r="AD422" s="58"/>
      <c r="AE422" s="58"/>
      <c r="AF422" s="58"/>
      <c r="AG422" s="58"/>
      <c r="AH422" s="58"/>
      <c r="AI422" s="58"/>
      <c r="AJ422" s="58"/>
      <c r="AK422" s="58"/>
      <c r="AL422" s="58"/>
      <c r="AM422" s="58"/>
      <c r="AN422" s="58"/>
      <c r="AO422" s="58"/>
      <c r="AP422" s="58"/>
      <c r="AQ422" s="58"/>
      <c r="AR422" s="58"/>
      <c r="AS422" s="58"/>
    </row>
    <row r="423" spans="1:45" x14ac:dyDescent="0.25">
      <c r="A423" s="58"/>
      <c r="J423" s="58"/>
      <c r="K423" s="58"/>
      <c r="L423" s="58"/>
      <c r="M423" s="58"/>
      <c r="N423" s="58"/>
      <c r="O423" s="58"/>
      <c r="P423" s="58"/>
      <c r="Q423" s="58"/>
      <c r="R423" s="58"/>
      <c r="S423" s="58"/>
      <c r="T423" s="58"/>
      <c r="U423" s="58"/>
      <c r="V423" s="58"/>
      <c r="W423" s="58"/>
      <c r="X423" s="58"/>
      <c r="Y423" s="58"/>
      <c r="Z423" s="58"/>
      <c r="AA423" s="58"/>
      <c r="AB423" s="58"/>
      <c r="AC423" s="58"/>
      <c r="AD423" s="58"/>
      <c r="AE423" s="58"/>
      <c r="AF423" s="58"/>
      <c r="AG423" s="58"/>
      <c r="AH423" s="58"/>
      <c r="AI423" s="58"/>
      <c r="AJ423" s="58"/>
      <c r="AK423" s="58"/>
      <c r="AL423" s="58"/>
      <c r="AM423" s="58"/>
      <c r="AN423" s="58"/>
      <c r="AO423" s="58"/>
      <c r="AP423" s="58"/>
      <c r="AQ423" s="58"/>
      <c r="AR423" s="58"/>
      <c r="AS423" s="58"/>
    </row>
    <row r="424" spans="1:45" x14ac:dyDescent="0.25">
      <c r="A424" s="58"/>
      <c r="J424" s="58"/>
      <c r="K424" s="58"/>
      <c r="L424" s="58"/>
      <c r="M424" s="58"/>
      <c r="N424" s="58"/>
      <c r="O424" s="58"/>
      <c r="P424" s="58"/>
      <c r="Q424" s="58"/>
      <c r="R424" s="58"/>
      <c r="S424" s="58"/>
      <c r="T424" s="58"/>
      <c r="U424" s="58"/>
      <c r="V424" s="58"/>
      <c r="W424" s="58"/>
      <c r="X424" s="58"/>
      <c r="Y424" s="58"/>
      <c r="Z424" s="58"/>
      <c r="AA424" s="58"/>
      <c r="AB424" s="58"/>
      <c r="AC424" s="58"/>
      <c r="AD424" s="58"/>
      <c r="AE424" s="58"/>
      <c r="AF424" s="58"/>
      <c r="AG424" s="58"/>
      <c r="AH424" s="58"/>
      <c r="AI424" s="58"/>
      <c r="AJ424" s="58"/>
      <c r="AK424" s="58"/>
      <c r="AL424" s="58"/>
      <c r="AM424" s="58"/>
      <c r="AN424" s="58"/>
      <c r="AO424" s="58"/>
      <c r="AP424" s="58"/>
      <c r="AQ424" s="58"/>
      <c r="AR424" s="58"/>
      <c r="AS424" s="58"/>
    </row>
    <row r="425" spans="1:45" x14ac:dyDescent="0.25">
      <c r="A425" s="58"/>
      <c r="J425" s="58"/>
      <c r="K425" s="58"/>
      <c r="L425" s="58"/>
      <c r="M425" s="58"/>
      <c r="N425" s="58"/>
      <c r="O425" s="58"/>
      <c r="P425" s="58"/>
      <c r="Q425" s="58"/>
      <c r="R425" s="58"/>
      <c r="S425" s="58"/>
      <c r="T425" s="58"/>
      <c r="U425" s="58"/>
      <c r="V425" s="58"/>
      <c r="W425" s="58"/>
      <c r="X425" s="58"/>
      <c r="Y425" s="58"/>
      <c r="Z425" s="58"/>
      <c r="AA425" s="58"/>
      <c r="AB425" s="58"/>
      <c r="AC425" s="58"/>
      <c r="AD425" s="58"/>
      <c r="AE425" s="58"/>
      <c r="AF425" s="58"/>
      <c r="AG425" s="58"/>
      <c r="AH425" s="58"/>
      <c r="AI425" s="58"/>
      <c r="AJ425" s="58"/>
      <c r="AK425" s="58"/>
      <c r="AL425" s="58"/>
      <c r="AM425" s="58"/>
      <c r="AN425" s="58"/>
      <c r="AO425" s="58"/>
      <c r="AP425" s="58"/>
      <c r="AQ425" s="58"/>
      <c r="AR425" s="58"/>
      <c r="AS425" s="58"/>
    </row>
    <row r="426" spans="1:45" x14ac:dyDescent="0.25">
      <c r="A426" s="58"/>
      <c r="J426" s="58"/>
      <c r="K426" s="58"/>
      <c r="L426" s="58"/>
      <c r="M426" s="58"/>
      <c r="N426" s="58"/>
      <c r="O426" s="58"/>
      <c r="P426" s="58"/>
      <c r="Q426" s="58"/>
      <c r="R426" s="58"/>
      <c r="S426" s="58"/>
      <c r="T426" s="58"/>
      <c r="U426" s="58"/>
      <c r="V426" s="58"/>
      <c r="W426" s="58"/>
      <c r="X426" s="58"/>
      <c r="Y426" s="58"/>
      <c r="Z426" s="58"/>
      <c r="AA426" s="58"/>
      <c r="AB426" s="58"/>
      <c r="AC426" s="58"/>
      <c r="AD426" s="58"/>
      <c r="AE426" s="58"/>
      <c r="AF426" s="58"/>
      <c r="AG426" s="58"/>
      <c r="AH426" s="58"/>
      <c r="AI426" s="58"/>
      <c r="AJ426" s="58"/>
      <c r="AK426" s="58"/>
      <c r="AL426" s="58"/>
      <c r="AM426" s="58"/>
      <c r="AN426" s="58"/>
      <c r="AO426" s="58"/>
      <c r="AP426" s="58"/>
      <c r="AQ426" s="58"/>
      <c r="AR426" s="58"/>
      <c r="AS426" s="58"/>
    </row>
    <row r="427" spans="1:45" x14ac:dyDescent="0.25">
      <c r="A427" s="58"/>
      <c r="J427" s="58"/>
      <c r="K427" s="58"/>
      <c r="L427" s="58"/>
      <c r="M427" s="58"/>
      <c r="N427" s="58"/>
      <c r="O427" s="58"/>
      <c r="P427" s="58"/>
      <c r="Q427" s="58"/>
      <c r="R427" s="58"/>
      <c r="S427" s="58"/>
      <c r="T427" s="58"/>
      <c r="U427" s="58"/>
      <c r="V427" s="58"/>
      <c r="W427" s="58"/>
      <c r="X427" s="58"/>
      <c r="Y427" s="58"/>
      <c r="Z427" s="58"/>
      <c r="AA427" s="58"/>
      <c r="AB427" s="58"/>
      <c r="AC427" s="58"/>
      <c r="AD427" s="58"/>
      <c r="AE427" s="58"/>
      <c r="AF427" s="58"/>
      <c r="AG427" s="58"/>
      <c r="AH427" s="58"/>
      <c r="AI427" s="58"/>
      <c r="AJ427" s="58"/>
      <c r="AK427" s="58"/>
      <c r="AL427" s="58"/>
      <c r="AM427" s="58"/>
      <c r="AN427" s="58"/>
      <c r="AO427" s="58"/>
      <c r="AP427" s="58"/>
      <c r="AQ427" s="58"/>
      <c r="AR427" s="58"/>
      <c r="AS427" s="58"/>
    </row>
    <row r="428" spans="1:45" x14ac:dyDescent="0.25">
      <c r="A428" s="58"/>
      <c r="J428" s="58"/>
      <c r="K428" s="58"/>
      <c r="L428" s="58"/>
      <c r="M428" s="58"/>
      <c r="N428" s="58"/>
      <c r="O428" s="58"/>
      <c r="P428" s="58"/>
      <c r="Q428" s="58"/>
      <c r="R428" s="58"/>
      <c r="S428" s="58"/>
      <c r="T428" s="58"/>
      <c r="U428" s="58"/>
      <c r="V428" s="58"/>
      <c r="W428" s="58"/>
      <c r="X428" s="58"/>
      <c r="Y428" s="58"/>
      <c r="Z428" s="58"/>
      <c r="AA428" s="58"/>
      <c r="AB428" s="58"/>
      <c r="AC428" s="58"/>
      <c r="AD428" s="58"/>
      <c r="AE428" s="58"/>
      <c r="AF428" s="58"/>
      <c r="AG428" s="58"/>
      <c r="AH428" s="58"/>
      <c r="AI428" s="58"/>
      <c r="AJ428" s="58"/>
      <c r="AK428" s="58"/>
      <c r="AL428" s="58"/>
      <c r="AM428" s="58"/>
      <c r="AN428" s="58"/>
      <c r="AO428" s="58"/>
      <c r="AP428" s="58"/>
      <c r="AQ428" s="58"/>
      <c r="AR428" s="58"/>
      <c r="AS428" s="58"/>
    </row>
    <row r="429" spans="1:45" x14ac:dyDescent="0.25">
      <c r="A429" s="58"/>
      <c r="J429" s="58"/>
      <c r="K429" s="58"/>
      <c r="L429" s="58"/>
      <c r="M429" s="58"/>
      <c r="N429" s="58"/>
      <c r="O429" s="58"/>
      <c r="P429" s="58"/>
      <c r="Q429" s="58"/>
      <c r="R429" s="58"/>
      <c r="S429" s="58"/>
      <c r="T429" s="58"/>
      <c r="U429" s="58"/>
      <c r="V429" s="58"/>
      <c r="W429" s="58"/>
      <c r="X429" s="58"/>
      <c r="Y429" s="58"/>
      <c r="Z429" s="58"/>
      <c r="AA429" s="58"/>
      <c r="AB429" s="58"/>
      <c r="AC429" s="58"/>
      <c r="AD429" s="58"/>
      <c r="AE429" s="58"/>
      <c r="AF429" s="58"/>
      <c r="AG429" s="58"/>
      <c r="AH429" s="58"/>
      <c r="AI429" s="58"/>
      <c r="AJ429" s="58"/>
      <c r="AK429" s="58"/>
      <c r="AL429" s="58"/>
      <c r="AM429" s="58"/>
      <c r="AN429" s="58"/>
      <c r="AO429" s="58"/>
      <c r="AP429" s="58"/>
      <c r="AQ429" s="58"/>
      <c r="AR429" s="58"/>
      <c r="AS429" s="58"/>
    </row>
    <row r="430" spans="1:45" x14ac:dyDescent="0.25">
      <c r="A430" s="58"/>
      <c r="J430" s="58"/>
      <c r="K430" s="58"/>
      <c r="L430" s="58"/>
      <c r="M430" s="58"/>
      <c r="N430" s="58"/>
      <c r="O430" s="58"/>
      <c r="P430" s="58"/>
      <c r="Q430" s="58"/>
      <c r="R430" s="58"/>
      <c r="S430" s="58"/>
      <c r="T430" s="58"/>
      <c r="U430" s="58"/>
      <c r="V430" s="58"/>
      <c r="W430" s="58"/>
      <c r="X430" s="58"/>
      <c r="Y430" s="58"/>
      <c r="Z430" s="58"/>
      <c r="AA430" s="58"/>
      <c r="AB430" s="58"/>
      <c r="AC430" s="58"/>
      <c r="AD430" s="58"/>
      <c r="AE430" s="58"/>
      <c r="AF430" s="58"/>
      <c r="AG430" s="58"/>
      <c r="AH430" s="58"/>
      <c r="AI430" s="58"/>
      <c r="AJ430" s="58"/>
      <c r="AK430" s="58"/>
      <c r="AL430" s="58"/>
      <c r="AM430" s="58"/>
      <c r="AN430" s="58"/>
      <c r="AO430" s="58"/>
      <c r="AP430" s="58"/>
      <c r="AQ430" s="58"/>
      <c r="AR430" s="58"/>
      <c r="AS430" s="58"/>
    </row>
    <row r="431" spans="1:45" x14ac:dyDescent="0.25">
      <c r="A431" s="58"/>
      <c r="J431" s="58"/>
      <c r="K431" s="58"/>
      <c r="L431" s="58"/>
      <c r="M431" s="58"/>
      <c r="N431" s="58"/>
      <c r="O431" s="58"/>
      <c r="P431" s="58"/>
      <c r="Q431" s="58"/>
      <c r="R431" s="58"/>
      <c r="S431" s="58"/>
      <c r="T431" s="58"/>
      <c r="U431" s="58"/>
      <c r="V431" s="58"/>
      <c r="W431" s="58"/>
      <c r="X431" s="58"/>
      <c r="Y431" s="58"/>
      <c r="Z431" s="58"/>
      <c r="AA431" s="58"/>
      <c r="AB431" s="58"/>
      <c r="AC431" s="58"/>
      <c r="AD431" s="58"/>
      <c r="AE431" s="58"/>
      <c r="AF431" s="58"/>
      <c r="AG431" s="58"/>
      <c r="AH431" s="58"/>
      <c r="AI431" s="58"/>
      <c r="AJ431" s="58"/>
      <c r="AK431" s="58"/>
      <c r="AL431" s="58"/>
      <c r="AM431" s="58"/>
      <c r="AN431" s="58"/>
      <c r="AO431" s="58"/>
      <c r="AP431" s="58"/>
      <c r="AQ431" s="58"/>
      <c r="AR431" s="58"/>
      <c r="AS431" s="58"/>
    </row>
    <row r="432" spans="1:45" x14ac:dyDescent="0.25">
      <c r="A432" s="58"/>
      <c r="J432" s="58"/>
      <c r="K432" s="58"/>
      <c r="L432" s="58"/>
      <c r="M432" s="58"/>
      <c r="N432" s="58"/>
      <c r="O432" s="58"/>
      <c r="P432" s="58"/>
      <c r="Q432" s="58"/>
      <c r="R432" s="58"/>
      <c r="S432" s="58"/>
      <c r="T432" s="58"/>
      <c r="U432" s="58"/>
      <c r="V432" s="58"/>
      <c r="W432" s="58"/>
      <c r="X432" s="58"/>
      <c r="Y432" s="58"/>
      <c r="Z432" s="58"/>
      <c r="AA432" s="58"/>
      <c r="AB432" s="58"/>
      <c r="AC432" s="58"/>
      <c r="AD432" s="58"/>
      <c r="AE432" s="58"/>
      <c r="AF432" s="58"/>
      <c r="AG432" s="58"/>
      <c r="AH432" s="58"/>
      <c r="AI432" s="58"/>
      <c r="AJ432" s="58"/>
      <c r="AK432" s="58"/>
      <c r="AL432" s="58"/>
      <c r="AM432" s="58"/>
      <c r="AN432" s="58"/>
      <c r="AO432" s="58"/>
      <c r="AP432" s="58"/>
      <c r="AQ432" s="58"/>
      <c r="AR432" s="58"/>
      <c r="AS432" s="58"/>
    </row>
    <row r="433" spans="1:45" x14ac:dyDescent="0.25">
      <c r="A433" s="58"/>
      <c r="J433" s="58"/>
      <c r="K433" s="58"/>
      <c r="L433" s="58"/>
      <c r="M433" s="58"/>
      <c r="N433" s="58"/>
      <c r="O433" s="58"/>
      <c r="P433" s="58"/>
      <c r="Q433" s="58"/>
      <c r="R433" s="58"/>
      <c r="S433" s="58"/>
      <c r="T433" s="58"/>
      <c r="U433" s="58"/>
      <c r="V433" s="58"/>
      <c r="W433" s="58"/>
      <c r="X433" s="58"/>
      <c r="Y433" s="58"/>
      <c r="Z433" s="58"/>
      <c r="AA433" s="58"/>
      <c r="AB433" s="58"/>
      <c r="AC433" s="58"/>
      <c r="AD433" s="58"/>
      <c r="AE433" s="58"/>
      <c r="AF433" s="58"/>
      <c r="AG433" s="58"/>
      <c r="AH433" s="58"/>
      <c r="AI433" s="58"/>
      <c r="AJ433" s="58"/>
      <c r="AK433" s="58"/>
      <c r="AL433" s="58"/>
      <c r="AM433" s="58"/>
      <c r="AN433" s="58"/>
      <c r="AO433" s="58"/>
      <c r="AP433" s="58"/>
      <c r="AQ433" s="58"/>
      <c r="AR433" s="58"/>
      <c r="AS433" s="58"/>
    </row>
    <row r="434" spans="1:45" x14ac:dyDescent="0.25">
      <c r="A434" s="58"/>
      <c r="J434" s="58"/>
      <c r="K434" s="58"/>
      <c r="L434" s="58"/>
      <c r="M434" s="58"/>
      <c r="N434" s="58"/>
      <c r="O434" s="58"/>
      <c r="P434" s="58"/>
      <c r="Q434" s="58"/>
      <c r="R434" s="58"/>
      <c r="S434" s="58"/>
      <c r="T434" s="58"/>
      <c r="U434" s="58"/>
      <c r="V434" s="58"/>
      <c r="W434" s="58"/>
      <c r="X434" s="58"/>
      <c r="Y434" s="58"/>
      <c r="Z434" s="58"/>
      <c r="AA434" s="58"/>
      <c r="AB434" s="58"/>
      <c r="AC434" s="58"/>
      <c r="AD434" s="58"/>
      <c r="AE434" s="58"/>
      <c r="AF434" s="58"/>
      <c r="AG434" s="58"/>
      <c r="AH434" s="58"/>
      <c r="AI434" s="58"/>
      <c r="AJ434" s="58"/>
      <c r="AK434" s="58"/>
      <c r="AL434" s="58"/>
      <c r="AM434" s="58"/>
      <c r="AN434" s="58"/>
      <c r="AO434" s="58"/>
      <c r="AP434" s="58"/>
      <c r="AQ434" s="58"/>
      <c r="AR434" s="58"/>
      <c r="AS434" s="58"/>
    </row>
    <row r="435" spans="1:45" x14ac:dyDescent="0.25">
      <c r="A435" s="58"/>
      <c r="J435" s="58"/>
      <c r="K435" s="58"/>
      <c r="L435" s="58"/>
      <c r="M435" s="58"/>
      <c r="N435" s="58"/>
      <c r="O435" s="58"/>
      <c r="P435" s="58"/>
      <c r="Q435" s="58"/>
      <c r="R435" s="58"/>
      <c r="S435" s="58"/>
      <c r="T435" s="58"/>
      <c r="U435" s="58"/>
      <c r="V435" s="58"/>
      <c r="W435" s="58"/>
      <c r="X435" s="58"/>
      <c r="Y435" s="58"/>
      <c r="Z435" s="58"/>
      <c r="AA435" s="58"/>
      <c r="AB435" s="58"/>
      <c r="AC435" s="58"/>
      <c r="AD435" s="58"/>
      <c r="AE435" s="58"/>
      <c r="AF435" s="58"/>
      <c r="AG435" s="58"/>
      <c r="AH435" s="58"/>
      <c r="AI435" s="58"/>
      <c r="AJ435" s="58"/>
      <c r="AK435" s="58"/>
      <c r="AL435" s="58"/>
      <c r="AM435" s="58"/>
      <c r="AN435" s="58"/>
      <c r="AO435" s="58"/>
      <c r="AP435" s="58"/>
      <c r="AQ435" s="58"/>
      <c r="AR435" s="58"/>
      <c r="AS435" s="58"/>
    </row>
    <row r="436" spans="1:45" x14ac:dyDescent="0.25">
      <c r="A436" s="58"/>
      <c r="J436" s="58"/>
      <c r="K436" s="58"/>
      <c r="L436" s="58"/>
      <c r="M436" s="58"/>
      <c r="N436" s="58"/>
      <c r="O436" s="58"/>
      <c r="P436" s="58"/>
      <c r="Q436" s="58"/>
      <c r="R436" s="58"/>
      <c r="S436" s="58"/>
      <c r="T436" s="58"/>
      <c r="U436" s="58"/>
      <c r="V436" s="58"/>
      <c r="W436" s="58"/>
      <c r="X436" s="58"/>
      <c r="Y436" s="58"/>
      <c r="Z436" s="58"/>
      <c r="AA436" s="58"/>
      <c r="AB436" s="58"/>
      <c r="AC436" s="58"/>
      <c r="AD436" s="58"/>
      <c r="AE436" s="58"/>
      <c r="AF436" s="58"/>
      <c r="AG436" s="58"/>
      <c r="AH436" s="58"/>
      <c r="AI436" s="58"/>
      <c r="AJ436" s="58"/>
      <c r="AK436" s="58"/>
      <c r="AL436" s="58"/>
      <c r="AM436" s="58"/>
      <c r="AN436" s="58"/>
      <c r="AO436" s="58"/>
      <c r="AP436" s="58"/>
      <c r="AQ436" s="58"/>
      <c r="AR436" s="58"/>
      <c r="AS436" s="58"/>
    </row>
    <row r="437" spans="1:45" x14ac:dyDescent="0.25">
      <c r="A437" s="58"/>
      <c r="J437" s="58"/>
      <c r="K437" s="58"/>
      <c r="L437" s="58"/>
      <c r="M437" s="58"/>
      <c r="N437" s="58"/>
      <c r="O437" s="58"/>
      <c r="P437" s="58"/>
      <c r="Q437" s="58"/>
      <c r="R437" s="58"/>
      <c r="S437" s="58"/>
      <c r="T437" s="58"/>
      <c r="U437" s="58"/>
      <c r="V437" s="58"/>
      <c r="W437" s="58"/>
      <c r="X437" s="58"/>
      <c r="Y437" s="58"/>
      <c r="Z437" s="58"/>
      <c r="AA437" s="58"/>
      <c r="AB437" s="58"/>
      <c r="AC437" s="58"/>
      <c r="AD437" s="58"/>
      <c r="AE437" s="58"/>
      <c r="AF437" s="58"/>
      <c r="AG437" s="58"/>
      <c r="AH437" s="58"/>
      <c r="AI437" s="58"/>
      <c r="AJ437" s="58"/>
      <c r="AK437" s="58"/>
      <c r="AL437" s="58"/>
      <c r="AM437" s="58"/>
      <c r="AN437" s="58"/>
      <c r="AO437" s="58"/>
      <c r="AP437" s="58"/>
      <c r="AQ437" s="58"/>
      <c r="AR437" s="58"/>
      <c r="AS437" s="58"/>
    </row>
    <row r="438" spans="1:45" x14ac:dyDescent="0.25">
      <c r="A438" s="58"/>
      <c r="J438" s="58"/>
      <c r="K438" s="58"/>
      <c r="L438" s="58"/>
      <c r="M438" s="58"/>
      <c r="N438" s="58"/>
      <c r="O438" s="58"/>
      <c r="P438" s="58"/>
      <c r="Q438" s="58"/>
      <c r="R438" s="58"/>
      <c r="S438" s="58"/>
      <c r="T438" s="58"/>
      <c r="U438" s="58"/>
      <c r="V438" s="58"/>
      <c r="W438" s="58"/>
      <c r="X438" s="58"/>
      <c r="Y438" s="58"/>
      <c r="Z438" s="58"/>
      <c r="AA438" s="58"/>
      <c r="AB438" s="58"/>
      <c r="AC438" s="58"/>
      <c r="AD438" s="58"/>
      <c r="AE438" s="58"/>
      <c r="AF438" s="58"/>
      <c r="AG438" s="58"/>
      <c r="AH438" s="58"/>
      <c r="AI438" s="58"/>
      <c r="AJ438" s="58"/>
      <c r="AK438" s="58"/>
      <c r="AL438" s="58"/>
      <c r="AM438" s="58"/>
      <c r="AN438" s="58"/>
      <c r="AO438" s="58"/>
      <c r="AP438" s="58"/>
      <c r="AQ438" s="58"/>
      <c r="AR438" s="58"/>
      <c r="AS438" s="58"/>
    </row>
    <row r="439" spans="1:45" x14ac:dyDescent="0.25">
      <c r="A439" s="58"/>
      <c r="J439" s="58"/>
      <c r="K439" s="58"/>
      <c r="L439" s="58"/>
      <c r="M439" s="58"/>
      <c r="N439" s="58"/>
      <c r="O439" s="58"/>
      <c r="P439" s="58"/>
      <c r="Q439" s="58"/>
      <c r="R439" s="58"/>
      <c r="S439" s="58"/>
      <c r="T439" s="58"/>
      <c r="U439" s="58"/>
      <c r="V439" s="58"/>
      <c r="W439" s="58"/>
      <c r="X439" s="58"/>
      <c r="Y439" s="58"/>
      <c r="Z439" s="58"/>
      <c r="AA439" s="58"/>
      <c r="AB439" s="58"/>
      <c r="AC439" s="58"/>
      <c r="AD439" s="58"/>
      <c r="AE439" s="58"/>
      <c r="AF439" s="58"/>
      <c r="AG439" s="58"/>
      <c r="AH439" s="58"/>
      <c r="AI439" s="58"/>
      <c r="AJ439" s="58"/>
      <c r="AK439" s="58"/>
      <c r="AL439" s="58"/>
      <c r="AM439" s="58"/>
      <c r="AN439" s="58"/>
      <c r="AO439" s="58"/>
      <c r="AP439" s="58"/>
      <c r="AQ439" s="58"/>
      <c r="AR439" s="58"/>
      <c r="AS439" s="58"/>
    </row>
    <row r="440" spans="1:45" x14ac:dyDescent="0.25">
      <c r="A440" s="58"/>
      <c r="J440" s="58"/>
      <c r="K440" s="58"/>
      <c r="L440" s="58"/>
      <c r="M440" s="58"/>
      <c r="N440" s="58"/>
      <c r="O440" s="58"/>
      <c r="P440" s="58"/>
      <c r="Q440" s="58"/>
      <c r="R440" s="58"/>
      <c r="S440" s="58"/>
      <c r="T440" s="58"/>
      <c r="U440" s="58"/>
      <c r="V440" s="58"/>
      <c r="W440" s="58"/>
      <c r="X440" s="58"/>
      <c r="Y440" s="58"/>
      <c r="Z440" s="58"/>
      <c r="AA440" s="58"/>
      <c r="AB440" s="58"/>
      <c r="AC440" s="58"/>
      <c r="AD440" s="58"/>
      <c r="AE440" s="58"/>
      <c r="AF440" s="58"/>
      <c r="AG440" s="58"/>
      <c r="AH440" s="58"/>
      <c r="AI440" s="58"/>
      <c r="AJ440" s="58"/>
      <c r="AK440" s="58"/>
      <c r="AL440" s="58"/>
      <c r="AM440" s="58"/>
      <c r="AN440" s="58"/>
      <c r="AO440" s="58"/>
      <c r="AP440" s="58"/>
      <c r="AQ440" s="58"/>
      <c r="AR440" s="58"/>
      <c r="AS440" s="58"/>
    </row>
    <row r="441" spans="1:45" x14ac:dyDescent="0.25">
      <c r="A441" s="58"/>
      <c r="J441" s="58"/>
      <c r="K441" s="58"/>
      <c r="L441" s="58"/>
      <c r="M441" s="58"/>
      <c r="N441" s="58"/>
      <c r="O441" s="58"/>
      <c r="P441" s="58"/>
      <c r="Q441" s="58"/>
      <c r="R441" s="58"/>
      <c r="S441" s="58"/>
      <c r="T441" s="58"/>
      <c r="U441" s="58"/>
      <c r="V441" s="58"/>
      <c r="W441" s="58"/>
      <c r="X441" s="58"/>
      <c r="Y441" s="58"/>
      <c r="Z441" s="58"/>
      <c r="AA441" s="58"/>
      <c r="AB441" s="58"/>
      <c r="AC441" s="58"/>
      <c r="AD441" s="58"/>
      <c r="AE441" s="58"/>
      <c r="AF441" s="58"/>
      <c r="AG441" s="58"/>
      <c r="AH441" s="58"/>
      <c r="AI441" s="58"/>
      <c r="AJ441" s="58"/>
      <c r="AK441" s="58"/>
      <c r="AL441" s="58"/>
      <c r="AM441" s="58"/>
      <c r="AN441" s="58"/>
      <c r="AO441" s="58"/>
      <c r="AP441" s="58"/>
      <c r="AQ441" s="58"/>
      <c r="AR441" s="58"/>
      <c r="AS441" s="58"/>
    </row>
    <row r="442" spans="1:45" x14ac:dyDescent="0.25">
      <c r="A442" s="58"/>
      <c r="J442" s="58"/>
      <c r="K442" s="58"/>
      <c r="L442" s="58"/>
      <c r="M442" s="58"/>
      <c r="N442" s="58"/>
      <c r="O442" s="58"/>
      <c r="P442" s="58"/>
      <c r="Q442" s="58"/>
      <c r="R442" s="58"/>
      <c r="S442" s="58"/>
      <c r="T442" s="58"/>
      <c r="U442" s="58"/>
      <c r="V442" s="58"/>
      <c r="W442" s="58"/>
      <c r="X442" s="58"/>
      <c r="Y442" s="58"/>
      <c r="Z442" s="58"/>
      <c r="AA442" s="58"/>
      <c r="AB442" s="58"/>
      <c r="AC442" s="58"/>
      <c r="AD442" s="58"/>
      <c r="AE442" s="58"/>
      <c r="AF442" s="58"/>
      <c r="AG442" s="58"/>
      <c r="AH442" s="58"/>
      <c r="AI442" s="58"/>
      <c r="AJ442" s="58"/>
      <c r="AK442" s="58"/>
      <c r="AL442" s="58"/>
      <c r="AM442" s="58"/>
      <c r="AN442" s="58"/>
      <c r="AO442" s="58"/>
      <c r="AP442" s="58"/>
      <c r="AQ442" s="58"/>
      <c r="AR442" s="58"/>
      <c r="AS442" s="58"/>
    </row>
    <row r="443" spans="1:45" x14ac:dyDescent="0.25">
      <c r="A443" s="58"/>
      <c r="J443" s="58"/>
      <c r="K443" s="58"/>
      <c r="L443" s="58"/>
      <c r="M443" s="58"/>
      <c r="N443" s="58"/>
      <c r="O443" s="58"/>
      <c r="P443" s="58"/>
      <c r="Q443" s="58"/>
      <c r="R443" s="58"/>
      <c r="S443" s="58"/>
      <c r="T443" s="58"/>
      <c r="U443" s="58"/>
      <c r="V443" s="58"/>
      <c r="W443" s="58"/>
      <c r="X443" s="58"/>
      <c r="Y443" s="58"/>
      <c r="Z443" s="58"/>
      <c r="AA443" s="58"/>
      <c r="AB443" s="58"/>
      <c r="AC443" s="58"/>
      <c r="AD443" s="58"/>
      <c r="AE443" s="58"/>
      <c r="AF443" s="58"/>
      <c r="AG443" s="58"/>
      <c r="AH443" s="58"/>
      <c r="AI443" s="58"/>
      <c r="AJ443" s="58"/>
      <c r="AK443" s="58"/>
      <c r="AL443" s="58"/>
      <c r="AM443" s="58"/>
      <c r="AN443" s="58"/>
      <c r="AO443" s="58"/>
      <c r="AP443" s="58"/>
      <c r="AQ443" s="58"/>
      <c r="AR443" s="58"/>
      <c r="AS443" s="58"/>
    </row>
    <row r="444" spans="1:45" x14ac:dyDescent="0.25">
      <c r="A444" s="58"/>
      <c r="J444" s="58"/>
      <c r="K444" s="58"/>
      <c r="L444" s="58"/>
      <c r="M444" s="58"/>
      <c r="N444" s="58"/>
      <c r="O444" s="58"/>
      <c r="P444" s="58"/>
      <c r="Q444" s="58"/>
      <c r="R444" s="58"/>
      <c r="S444" s="58"/>
      <c r="T444" s="58"/>
      <c r="U444" s="58"/>
      <c r="V444" s="58"/>
      <c r="W444" s="58"/>
      <c r="X444" s="58"/>
      <c r="Y444" s="58"/>
      <c r="Z444" s="58"/>
      <c r="AA444" s="58"/>
      <c r="AB444" s="58"/>
      <c r="AC444" s="58"/>
      <c r="AD444" s="58"/>
      <c r="AE444" s="58"/>
      <c r="AF444" s="58"/>
      <c r="AG444" s="58"/>
      <c r="AH444" s="58"/>
      <c r="AI444" s="58"/>
      <c r="AJ444" s="58"/>
      <c r="AK444" s="58"/>
      <c r="AL444" s="58"/>
      <c r="AM444" s="58"/>
      <c r="AN444" s="58"/>
      <c r="AO444" s="58"/>
      <c r="AP444" s="58"/>
      <c r="AQ444" s="58"/>
      <c r="AR444" s="58"/>
      <c r="AS444" s="58"/>
    </row>
    <row r="445" spans="1:45" x14ac:dyDescent="0.25">
      <c r="A445" s="58"/>
    </row>
    <row r="446" spans="1:45" x14ac:dyDescent="0.25">
      <c r="A446" s="58"/>
    </row>
    <row r="447" spans="1:45" x14ac:dyDescent="0.25">
      <c r="A447" s="58"/>
    </row>
    <row r="448" spans="1:45" x14ac:dyDescent="0.25">
      <c r="A448" s="58"/>
    </row>
  </sheetData>
  <mergeCells count="17">
    <mergeCell ref="J256:L261"/>
    <mergeCell ref="M256:O261"/>
    <mergeCell ref="P256:R261"/>
    <mergeCell ref="S256:U261"/>
    <mergeCell ref="V256:X261"/>
    <mergeCell ref="Z56:AE105"/>
    <mergeCell ref="E56:I105"/>
    <mergeCell ref="Z6:AE55"/>
    <mergeCell ref="B2:I4"/>
    <mergeCell ref="J2:X4"/>
    <mergeCell ref="B6:D255"/>
    <mergeCell ref="E6:I55"/>
    <mergeCell ref="E206:I255"/>
    <mergeCell ref="Z156:AE205"/>
    <mergeCell ref="E156:I205"/>
    <mergeCell ref="Z106:AE155"/>
    <mergeCell ref="E106:I15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topLeftCell="A3" zoomScale="90" zoomScaleNormal="90" workbookViewId="0">
      <selection activeCell="C6" sqref="C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58"/>
      <c r="B1" s="412" t="s">
        <v>49</v>
      </c>
      <c r="C1" s="412"/>
      <c r="D1" s="412"/>
      <c r="E1" s="58"/>
      <c r="F1" s="58"/>
      <c r="G1" s="58"/>
      <c r="H1" s="58"/>
      <c r="I1" s="58"/>
      <c r="J1" s="58"/>
      <c r="K1" s="58"/>
      <c r="L1" s="58"/>
      <c r="M1" s="58"/>
      <c r="N1" s="58"/>
      <c r="O1" s="58"/>
      <c r="P1" s="58"/>
      <c r="Q1" s="58"/>
      <c r="R1" s="58"/>
      <c r="S1" s="58"/>
      <c r="T1" s="58"/>
      <c r="U1" s="58"/>
      <c r="V1" s="58"/>
      <c r="W1" s="58"/>
      <c r="X1" s="58"/>
      <c r="Y1" s="58"/>
      <c r="Z1" s="58"/>
      <c r="AA1" s="58"/>
      <c r="AB1" s="58"/>
      <c r="AC1" s="58"/>
      <c r="AD1" s="58"/>
      <c r="AE1" s="58"/>
    </row>
    <row r="2" spans="1:37"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row>
    <row r="3" spans="1:37" ht="25.5" x14ac:dyDescent="0.25">
      <c r="A3" s="58"/>
      <c r="B3" s="8"/>
      <c r="C3" s="9" t="s">
        <v>46</v>
      </c>
      <c r="D3" s="9" t="s">
        <v>4</v>
      </c>
      <c r="E3" s="58"/>
      <c r="F3" s="58"/>
      <c r="G3" s="58"/>
      <c r="H3" s="58"/>
      <c r="I3" s="58"/>
      <c r="J3" s="58"/>
      <c r="K3" s="58"/>
      <c r="L3" s="58"/>
      <c r="M3" s="58"/>
      <c r="N3" s="58"/>
      <c r="O3" s="58"/>
      <c r="P3" s="58"/>
      <c r="Q3" s="58"/>
      <c r="R3" s="58"/>
      <c r="S3" s="58"/>
      <c r="T3" s="58"/>
      <c r="U3" s="58"/>
      <c r="V3" s="58"/>
      <c r="W3" s="58"/>
      <c r="X3" s="58"/>
      <c r="Y3" s="58"/>
      <c r="Z3" s="58"/>
      <c r="AA3" s="58"/>
      <c r="AB3" s="58"/>
      <c r="AC3" s="58"/>
      <c r="AD3" s="58"/>
      <c r="AE3" s="58"/>
    </row>
    <row r="4" spans="1:37" ht="51" x14ac:dyDescent="0.25">
      <c r="A4" s="58"/>
      <c r="B4" s="10" t="s">
        <v>45</v>
      </c>
      <c r="C4" s="11" t="s">
        <v>96</v>
      </c>
      <c r="D4" s="12">
        <v>0.2</v>
      </c>
      <c r="E4" s="58"/>
      <c r="F4" s="58"/>
      <c r="G4" s="58"/>
      <c r="H4" s="58"/>
      <c r="I4" s="58"/>
      <c r="J4" s="58"/>
      <c r="K4" s="58"/>
      <c r="L4" s="58"/>
      <c r="M4" s="58"/>
      <c r="N4" s="58"/>
      <c r="O4" s="58"/>
      <c r="P4" s="58"/>
      <c r="Q4" s="58"/>
      <c r="R4" s="58"/>
      <c r="S4" s="58"/>
      <c r="T4" s="58"/>
      <c r="U4" s="58"/>
      <c r="V4" s="58"/>
      <c r="W4" s="58"/>
      <c r="X4" s="58"/>
      <c r="Y4" s="58"/>
      <c r="Z4" s="58"/>
      <c r="AA4" s="58"/>
      <c r="AB4" s="58"/>
      <c r="AC4" s="58"/>
      <c r="AD4" s="58"/>
      <c r="AE4" s="58"/>
    </row>
    <row r="5" spans="1:37" ht="51" x14ac:dyDescent="0.25">
      <c r="A5" s="58"/>
      <c r="B5" s="13" t="s">
        <v>47</v>
      </c>
      <c r="C5" s="14" t="s">
        <v>97</v>
      </c>
      <c r="D5" s="15">
        <v>0.4</v>
      </c>
      <c r="E5" s="58"/>
      <c r="F5" s="58"/>
      <c r="G5" s="58"/>
      <c r="H5" s="58"/>
      <c r="I5" s="58"/>
      <c r="J5" s="58"/>
      <c r="K5" s="58"/>
      <c r="L5" s="58"/>
      <c r="M5" s="58"/>
      <c r="N5" s="58"/>
      <c r="O5" s="58"/>
      <c r="P5" s="58"/>
      <c r="Q5" s="58"/>
      <c r="R5" s="58"/>
      <c r="S5" s="58"/>
      <c r="T5" s="58"/>
      <c r="U5" s="58"/>
      <c r="V5" s="58"/>
      <c r="W5" s="58"/>
      <c r="X5" s="58"/>
      <c r="Y5" s="58"/>
      <c r="Z5" s="58"/>
      <c r="AA5" s="58"/>
      <c r="AB5" s="58"/>
      <c r="AC5" s="58"/>
      <c r="AD5" s="58"/>
      <c r="AE5" s="58"/>
    </row>
    <row r="6" spans="1:37" ht="51" x14ac:dyDescent="0.25">
      <c r="A6" s="58"/>
      <c r="B6" s="16" t="s">
        <v>101</v>
      </c>
      <c r="C6" s="14" t="s">
        <v>98</v>
      </c>
      <c r="D6" s="15">
        <v>0.6</v>
      </c>
      <c r="E6" s="58"/>
      <c r="F6" s="58"/>
      <c r="G6" s="58"/>
      <c r="H6" s="58"/>
      <c r="I6" s="58"/>
      <c r="J6" s="58"/>
      <c r="K6" s="58"/>
      <c r="L6" s="58"/>
      <c r="M6" s="58"/>
      <c r="N6" s="58"/>
      <c r="O6" s="58"/>
      <c r="P6" s="58"/>
      <c r="Q6" s="58"/>
      <c r="R6" s="58"/>
      <c r="S6" s="58"/>
      <c r="T6" s="58"/>
      <c r="U6" s="58"/>
      <c r="V6" s="58"/>
      <c r="W6" s="58"/>
      <c r="X6" s="58"/>
      <c r="Y6" s="58"/>
      <c r="Z6" s="58"/>
      <c r="AA6" s="58"/>
      <c r="AB6" s="58"/>
      <c r="AC6" s="58"/>
      <c r="AD6" s="58"/>
      <c r="AE6" s="58"/>
    </row>
    <row r="7" spans="1:37" ht="76.5" x14ac:dyDescent="0.25">
      <c r="A7" s="58"/>
      <c r="B7" s="17" t="s">
        <v>6</v>
      </c>
      <c r="C7" s="14" t="s">
        <v>99</v>
      </c>
      <c r="D7" s="15">
        <v>0.8</v>
      </c>
      <c r="E7" s="58"/>
      <c r="F7" s="58"/>
      <c r="G7" s="58"/>
      <c r="H7" s="58"/>
      <c r="I7" s="58"/>
      <c r="J7" s="58"/>
      <c r="K7" s="58"/>
      <c r="L7" s="58"/>
      <c r="M7" s="58"/>
      <c r="N7" s="58"/>
      <c r="O7" s="58"/>
      <c r="P7" s="58"/>
      <c r="Q7" s="58"/>
      <c r="R7" s="58"/>
      <c r="S7" s="58"/>
      <c r="T7" s="58"/>
      <c r="U7" s="58"/>
      <c r="V7" s="58"/>
      <c r="W7" s="58"/>
      <c r="X7" s="58"/>
      <c r="Y7" s="58"/>
      <c r="Z7" s="58"/>
      <c r="AA7" s="58"/>
      <c r="AB7" s="58"/>
      <c r="AC7" s="58"/>
      <c r="AD7" s="58"/>
      <c r="AE7" s="58"/>
    </row>
    <row r="8" spans="1:37" ht="51" x14ac:dyDescent="0.25">
      <c r="A8" s="58"/>
      <c r="B8" s="18" t="s">
        <v>48</v>
      </c>
      <c r="C8" s="14" t="s">
        <v>100</v>
      </c>
      <c r="D8" s="15">
        <v>1</v>
      </c>
      <c r="E8" s="58"/>
      <c r="F8" s="58"/>
      <c r="G8" s="58"/>
      <c r="H8" s="58"/>
      <c r="I8" s="58"/>
      <c r="J8" s="58"/>
      <c r="K8" s="58"/>
      <c r="L8" s="58"/>
      <c r="M8" s="58"/>
      <c r="N8" s="58"/>
      <c r="O8" s="58"/>
      <c r="P8" s="58"/>
      <c r="Q8" s="58"/>
      <c r="R8" s="58"/>
      <c r="S8" s="58"/>
      <c r="T8" s="58"/>
      <c r="U8" s="58"/>
      <c r="V8" s="58"/>
      <c r="W8" s="58"/>
      <c r="X8" s="58"/>
      <c r="Y8" s="58"/>
      <c r="Z8" s="58"/>
      <c r="AA8" s="58"/>
      <c r="AB8" s="58"/>
      <c r="AC8" s="58"/>
      <c r="AD8" s="58"/>
      <c r="AE8" s="58"/>
    </row>
    <row r="9" spans="1:37" x14ac:dyDescent="0.25">
      <c r="A9" s="58"/>
      <c r="B9" s="82"/>
      <c r="C9" s="82"/>
      <c r="D9" s="82"/>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row>
    <row r="10" spans="1:37" ht="16.5" x14ac:dyDescent="0.25">
      <c r="A10" s="58"/>
      <c r="B10" s="83"/>
      <c r="C10" s="82"/>
      <c r="D10" s="82"/>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row>
    <row r="11" spans="1:37" x14ac:dyDescent="0.25">
      <c r="A11" s="58"/>
      <c r="B11" s="82"/>
      <c r="C11" s="82"/>
      <c r="D11" s="82"/>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row>
    <row r="12" spans="1:37" x14ac:dyDescent="0.25">
      <c r="A12" s="58"/>
      <c r="B12" s="82"/>
      <c r="C12" s="82"/>
      <c r="D12" s="82"/>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row>
    <row r="13" spans="1:37" x14ac:dyDescent="0.25">
      <c r="A13" s="58"/>
      <c r="B13" s="82"/>
      <c r="C13" s="82"/>
      <c r="D13" s="82"/>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row>
    <row r="14" spans="1:37" x14ac:dyDescent="0.25">
      <c r="A14" s="58"/>
      <c r="B14" s="82"/>
      <c r="C14" s="82"/>
      <c r="D14" s="82"/>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row>
    <row r="15" spans="1:37" x14ac:dyDescent="0.25">
      <c r="A15" s="58"/>
      <c r="B15" s="82"/>
      <c r="C15" s="82"/>
      <c r="D15" s="82"/>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row>
    <row r="16" spans="1:37" x14ac:dyDescent="0.25">
      <c r="A16" s="58"/>
      <c r="B16" s="82"/>
      <c r="C16" s="82"/>
      <c r="D16" s="82"/>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row>
    <row r="17" spans="1:37" x14ac:dyDescent="0.25">
      <c r="A17" s="58"/>
      <c r="B17" s="82"/>
      <c r="C17" s="82"/>
      <c r="D17" s="82"/>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row>
    <row r="18" spans="1:37" x14ac:dyDescent="0.25">
      <c r="A18" s="58"/>
      <c r="B18" s="82"/>
      <c r="C18" s="82"/>
      <c r="D18" s="82"/>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row>
    <row r="19" spans="1:37" x14ac:dyDescent="0.25">
      <c r="A19" s="58"/>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row>
    <row r="20" spans="1:37" x14ac:dyDescent="0.25">
      <c r="A20" s="58"/>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row>
    <row r="21" spans="1:37" x14ac:dyDescent="0.25">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row>
    <row r="22" spans="1:37" x14ac:dyDescent="0.25">
      <c r="A22" s="58"/>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row>
    <row r="23" spans="1:37" x14ac:dyDescent="0.25">
      <c r="A23" s="58"/>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row>
    <row r="24" spans="1:37" x14ac:dyDescent="0.2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row>
    <row r="25" spans="1:37" x14ac:dyDescent="0.25">
      <c r="A25" s="58"/>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row>
    <row r="26" spans="1:37" x14ac:dyDescent="0.25">
      <c r="A26" s="58"/>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row>
    <row r="27" spans="1:37" x14ac:dyDescent="0.25">
      <c r="A27" s="58"/>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row>
    <row r="28" spans="1:37" x14ac:dyDescent="0.25">
      <c r="A28" s="58"/>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row>
    <row r="29" spans="1:37" x14ac:dyDescent="0.25">
      <c r="A29" s="58"/>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row>
    <row r="30" spans="1:37" x14ac:dyDescent="0.25">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row>
    <row r="31" spans="1:37" x14ac:dyDescent="0.25">
      <c r="A31" s="58"/>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row>
    <row r="32" spans="1:37" x14ac:dyDescent="0.25">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row>
    <row r="33" spans="1:31" x14ac:dyDescent="0.25">
      <c r="A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row>
    <row r="34" spans="1:31" x14ac:dyDescent="0.25">
      <c r="A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row>
    <row r="35" spans="1:31" x14ac:dyDescent="0.25">
      <c r="A35" s="58"/>
    </row>
    <row r="36" spans="1:31" x14ac:dyDescent="0.25">
      <c r="A36" s="58"/>
    </row>
    <row r="37" spans="1:31" x14ac:dyDescent="0.25">
      <c r="A37" s="58"/>
    </row>
    <row r="38" spans="1:31" x14ac:dyDescent="0.25">
      <c r="A38" s="58"/>
    </row>
    <row r="39" spans="1:31" x14ac:dyDescent="0.25">
      <c r="A39" s="58"/>
    </row>
    <row r="40" spans="1:31" x14ac:dyDescent="0.25">
      <c r="A40" s="58"/>
    </row>
    <row r="41" spans="1:31" x14ac:dyDescent="0.25">
      <c r="A41" s="58"/>
    </row>
    <row r="42" spans="1:31" x14ac:dyDescent="0.25">
      <c r="A42" s="58"/>
    </row>
    <row r="43" spans="1:31" x14ac:dyDescent="0.25">
      <c r="A43" s="58"/>
    </row>
    <row r="44" spans="1:31" x14ac:dyDescent="0.25">
      <c r="A44" s="58"/>
    </row>
    <row r="45" spans="1:31" x14ac:dyDescent="0.25">
      <c r="A45" s="58"/>
    </row>
    <row r="46" spans="1:31" x14ac:dyDescent="0.25">
      <c r="A46" s="58"/>
    </row>
    <row r="47" spans="1:31" x14ac:dyDescent="0.25">
      <c r="A47" s="58"/>
    </row>
    <row r="48" spans="1:31" x14ac:dyDescent="0.25">
      <c r="A48" s="58"/>
    </row>
    <row r="49" spans="1:1" x14ac:dyDescent="0.25">
      <c r="A49" s="58"/>
    </row>
    <row r="50" spans="1:1" x14ac:dyDescent="0.25">
      <c r="A50" s="58"/>
    </row>
    <row r="51" spans="1:1" x14ac:dyDescent="0.25">
      <c r="A51" s="58"/>
    </row>
    <row r="52" spans="1:1" x14ac:dyDescent="0.25">
      <c r="A52" s="58"/>
    </row>
    <row r="53" spans="1:1" x14ac:dyDescent="0.25">
      <c r="A53" s="58"/>
    </row>
    <row r="54" spans="1:1" x14ac:dyDescent="0.25">
      <c r="A54" s="58"/>
    </row>
    <row r="55" spans="1:1" x14ac:dyDescent="0.25">
      <c r="A55" s="58"/>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topLeftCell="D201" zoomScale="60" zoomScaleNormal="60" workbookViewId="0">
      <selection activeCell="F227" sqref="F227"/>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58"/>
      <c r="B1" s="413" t="s">
        <v>57</v>
      </c>
      <c r="C1" s="413"/>
      <c r="D1" s="413"/>
      <c r="E1" s="58"/>
      <c r="F1" s="58"/>
      <c r="G1" s="58"/>
      <c r="H1" s="58"/>
      <c r="I1" s="58"/>
      <c r="J1" s="58"/>
      <c r="K1" s="58"/>
      <c r="L1" s="58"/>
      <c r="M1" s="58"/>
      <c r="N1" s="58"/>
      <c r="O1" s="58"/>
      <c r="P1" s="58"/>
      <c r="Q1" s="58"/>
      <c r="R1" s="58"/>
      <c r="S1" s="58"/>
      <c r="T1" s="58"/>
      <c r="U1" s="58"/>
    </row>
    <row r="2" spans="1:21" x14ac:dyDescent="0.25">
      <c r="A2" s="58"/>
      <c r="B2" s="58"/>
      <c r="C2" s="58"/>
      <c r="D2" s="58"/>
      <c r="E2" s="58"/>
      <c r="F2" s="58"/>
      <c r="G2" s="58"/>
      <c r="H2" s="58"/>
      <c r="I2" s="58"/>
      <c r="J2" s="58"/>
      <c r="K2" s="58"/>
      <c r="L2" s="58"/>
      <c r="M2" s="58"/>
      <c r="N2" s="58"/>
      <c r="O2" s="58"/>
      <c r="P2" s="58"/>
      <c r="Q2" s="58"/>
      <c r="R2" s="58"/>
      <c r="S2" s="58"/>
      <c r="T2" s="58"/>
      <c r="U2" s="58"/>
    </row>
    <row r="3" spans="1:21" ht="30" x14ac:dyDescent="0.25">
      <c r="A3" s="58"/>
      <c r="B3" s="79"/>
      <c r="C3" s="32" t="s">
        <v>50</v>
      </c>
      <c r="D3" s="32" t="s">
        <v>51</v>
      </c>
      <c r="E3" s="58"/>
      <c r="F3" s="58"/>
      <c r="G3" s="58"/>
      <c r="H3" s="58"/>
      <c r="I3" s="58"/>
      <c r="J3" s="58"/>
      <c r="K3" s="58"/>
      <c r="L3" s="58"/>
      <c r="M3" s="58"/>
      <c r="N3" s="58"/>
      <c r="O3" s="58"/>
      <c r="P3" s="58"/>
      <c r="Q3" s="58"/>
      <c r="R3" s="58"/>
      <c r="S3" s="58"/>
      <c r="T3" s="58"/>
      <c r="U3" s="58"/>
    </row>
    <row r="4" spans="1:21" ht="33.75" x14ac:dyDescent="0.25">
      <c r="A4" s="78" t="s">
        <v>77</v>
      </c>
      <c r="B4" s="35" t="s">
        <v>95</v>
      </c>
      <c r="C4" s="40" t="s">
        <v>149</v>
      </c>
      <c r="D4" s="33" t="s">
        <v>91</v>
      </c>
      <c r="E4" s="58"/>
      <c r="F4" s="58"/>
      <c r="G4" s="58"/>
      <c r="H4" s="58"/>
      <c r="I4" s="58"/>
      <c r="J4" s="58"/>
      <c r="K4" s="58"/>
      <c r="L4" s="58"/>
      <c r="M4" s="58"/>
      <c r="N4" s="58"/>
      <c r="O4" s="58"/>
      <c r="P4" s="58"/>
      <c r="Q4" s="58"/>
      <c r="R4" s="58"/>
      <c r="S4" s="58"/>
      <c r="T4" s="58"/>
      <c r="U4" s="58"/>
    </row>
    <row r="5" spans="1:21" ht="67.5" x14ac:dyDescent="0.25">
      <c r="A5" s="78" t="s">
        <v>78</v>
      </c>
      <c r="B5" s="36" t="s">
        <v>53</v>
      </c>
      <c r="C5" s="41" t="s">
        <v>87</v>
      </c>
      <c r="D5" s="34" t="s">
        <v>92</v>
      </c>
      <c r="E5" s="58"/>
      <c r="F5" s="58"/>
      <c r="G5" s="58"/>
      <c r="H5" s="58"/>
      <c r="I5" s="58"/>
      <c r="J5" s="58"/>
      <c r="K5" s="58"/>
      <c r="L5" s="58"/>
      <c r="M5" s="58"/>
      <c r="N5" s="58"/>
      <c r="O5" s="58"/>
      <c r="P5" s="58"/>
      <c r="Q5" s="58"/>
      <c r="R5" s="58"/>
      <c r="S5" s="58"/>
      <c r="T5" s="58"/>
      <c r="U5" s="58"/>
    </row>
    <row r="6" spans="1:21" ht="67.5" x14ac:dyDescent="0.25">
      <c r="A6" s="78" t="s">
        <v>75</v>
      </c>
      <c r="B6" s="37" t="s">
        <v>54</v>
      </c>
      <c r="C6" s="41" t="s">
        <v>88</v>
      </c>
      <c r="D6" s="34" t="s">
        <v>94</v>
      </c>
      <c r="E6" s="58"/>
      <c r="F6" s="58"/>
      <c r="G6" s="58"/>
      <c r="H6" s="58"/>
      <c r="I6" s="58"/>
      <c r="J6" s="58"/>
      <c r="K6" s="58"/>
      <c r="L6" s="58"/>
      <c r="M6" s="58"/>
      <c r="N6" s="58"/>
      <c r="O6" s="58"/>
      <c r="P6" s="58"/>
      <c r="Q6" s="58"/>
      <c r="R6" s="58"/>
      <c r="S6" s="58"/>
      <c r="T6" s="58"/>
      <c r="U6" s="58"/>
    </row>
    <row r="7" spans="1:21" ht="101.25" x14ac:dyDescent="0.25">
      <c r="A7" s="78" t="s">
        <v>7</v>
      </c>
      <c r="B7" s="38" t="s">
        <v>55</v>
      </c>
      <c r="C7" s="41" t="s">
        <v>89</v>
      </c>
      <c r="D7" s="34" t="s">
        <v>93</v>
      </c>
      <c r="E7" s="58"/>
      <c r="F7" s="58"/>
      <c r="G7" s="58"/>
      <c r="H7" s="58"/>
      <c r="I7" s="58"/>
      <c r="J7" s="58"/>
      <c r="K7" s="58"/>
      <c r="L7" s="58"/>
      <c r="M7" s="58"/>
      <c r="N7" s="58"/>
      <c r="O7" s="58"/>
      <c r="P7" s="58"/>
      <c r="Q7" s="58"/>
      <c r="R7" s="58"/>
      <c r="S7" s="58"/>
      <c r="T7" s="58"/>
      <c r="U7" s="58"/>
    </row>
    <row r="8" spans="1:21" ht="67.5" x14ac:dyDescent="0.25">
      <c r="A8" s="78" t="s">
        <v>79</v>
      </c>
      <c r="B8" s="39" t="s">
        <v>56</v>
      </c>
      <c r="C8" s="41" t="s">
        <v>90</v>
      </c>
      <c r="D8" s="34" t="s">
        <v>112</v>
      </c>
      <c r="E8" s="58"/>
      <c r="F8" s="58"/>
      <c r="G8" s="58"/>
      <c r="H8" s="58"/>
      <c r="I8" s="58"/>
      <c r="J8" s="58"/>
      <c r="K8" s="58"/>
      <c r="L8" s="58"/>
      <c r="M8" s="58"/>
      <c r="N8" s="58"/>
      <c r="O8" s="58"/>
      <c r="P8" s="58"/>
      <c r="Q8" s="58"/>
      <c r="R8" s="58"/>
      <c r="S8" s="58"/>
      <c r="T8" s="58"/>
      <c r="U8" s="58"/>
    </row>
    <row r="9" spans="1:21" ht="20.25" x14ac:dyDescent="0.25">
      <c r="A9" s="78"/>
      <c r="B9" s="78"/>
      <c r="C9" s="80"/>
      <c r="D9" s="80"/>
      <c r="E9" s="58"/>
      <c r="F9" s="58"/>
      <c r="G9" s="58"/>
      <c r="H9" s="58"/>
      <c r="I9" s="58"/>
      <c r="J9" s="58"/>
      <c r="K9" s="58"/>
      <c r="L9" s="58"/>
      <c r="M9" s="58"/>
      <c r="N9" s="58"/>
      <c r="O9" s="58"/>
      <c r="P9" s="58"/>
      <c r="Q9" s="58"/>
      <c r="R9" s="58"/>
      <c r="S9" s="58"/>
      <c r="T9" s="58"/>
      <c r="U9" s="58"/>
    </row>
    <row r="10" spans="1:21" ht="16.5" x14ac:dyDescent="0.25">
      <c r="A10" s="78"/>
      <c r="B10" s="81"/>
      <c r="C10" s="81"/>
      <c r="D10" s="81"/>
      <c r="E10" s="58"/>
      <c r="F10" s="58"/>
      <c r="G10" s="58"/>
      <c r="H10" s="58"/>
      <c r="I10" s="58"/>
      <c r="J10" s="58"/>
      <c r="K10" s="58"/>
      <c r="L10" s="58"/>
      <c r="M10" s="58"/>
      <c r="N10" s="58"/>
      <c r="O10" s="58"/>
      <c r="P10" s="58"/>
      <c r="Q10" s="58"/>
      <c r="R10" s="58"/>
      <c r="S10" s="58"/>
      <c r="T10" s="58"/>
      <c r="U10" s="58"/>
    </row>
    <row r="11" spans="1:21" x14ac:dyDescent="0.25">
      <c r="A11" s="78"/>
      <c r="B11" s="78" t="s">
        <v>85</v>
      </c>
      <c r="C11" s="78" t="s">
        <v>137</v>
      </c>
      <c r="D11" s="78" t="s">
        <v>144</v>
      </c>
      <c r="E11" s="58"/>
      <c r="F11" s="58"/>
      <c r="G11" s="58"/>
      <c r="H11" s="58"/>
      <c r="I11" s="58"/>
      <c r="J11" s="58"/>
      <c r="K11" s="58"/>
      <c r="L11" s="58"/>
      <c r="M11" s="58"/>
      <c r="N11" s="58"/>
      <c r="O11" s="58"/>
      <c r="P11" s="58"/>
      <c r="Q11" s="58"/>
      <c r="R11" s="58"/>
      <c r="S11" s="58"/>
      <c r="T11" s="58"/>
      <c r="U11" s="58"/>
    </row>
    <row r="12" spans="1:21" x14ac:dyDescent="0.25">
      <c r="A12" s="78"/>
      <c r="B12" s="78" t="s">
        <v>83</v>
      </c>
      <c r="C12" s="78" t="s">
        <v>141</v>
      </c>
      <c r="D12" s="78" t="s">
        <v>145</v>
      </c>
      <c r="E12" s="58"/>
      <c r="F12" s="58"/>
      <c r="G12" s="58"/>
      <c r="H12" s="58"/>
      <c r="I12" s="58"/>
      <c r="J12" s="58"/>
      <c r="K12" s="58"/>
      <c r="L12" s="58"/>
      <c r="M12" s="58"/>
      <c r="N12" s="58"/>
      <c r="O12" s="58"/>
      <c r="P12" s="58"/>
      <c r="Q12" s="58"/>
      <c r="R12" s="58"/>
      <c r="S12" s="58"/>
      <c r="T12" s="58"/>
      <c r="U12" s="58"/>
    </row>
    <row r="13" spans="1:21" x14ac:dyDescent="0.25">
      <c r="A13" s="78"/>
      <c r="B13" s="78"/>
      <c r="C13" s="78" t="s">
        <v>140</v>
      </c>
      <c r="D13" s="78" t="s">
        <v>146</v>
      </c>
      <c r="E13" s="58"/>
      <c r="F13" s="58"/>
      <c r="G13" s="58"/>
      <c r="H13" s="58"/>
      <c r="I13" s="58"/>
      <c r="J13" s="58"/>
      <c r="K13" s="58"/>
      <c r="L13" s="58"/>
      <c r="M13" s="58"/>
      <c r="N13" s="58"/>
      <c r="O13" s="58"/>
      <c r="P13" s="58"/>
      <c r="Q13" s="58"/>
      <c r="R13" s="58"/>
      <c r="S13" s="58"/>
      <c r="T13" s="58"/>
      <c r="U13" s="58"/>
    </row>
    <row r="14" spans="1:21" x14ac:dyDescent="0.25">
      <c r="A14" s="78"/>
      <c r="B14" s="78"/>
      <c r="C14" s="78" t="s">
        <v>142</v>
      </c>
      <c r="D14" s="78" t="s">
        <v>147</v>
      </c>
      <c r="E14" s="58"/>
      <c r="F14" s="58"/>
      <c r="G14" s="58"/>
      <c r="H14" s="58"/>
      <c r="I14" s="58"/>
      <c r="J14" s="58"/>
      <c r="K14" s="58"/>
      <c r="L14" s="58"/>
      <c r="M14" s="58"/>
      <c r="N14" s="58"/>
      <c r="O14" s="58"/>
      <c r="P14" s="58"/>
      <c r="Q14" s="58"/>
      <c r="R14" s="58"/>
      <c r="S14" s="58"/>
      <c r="T14" s="58"/>
      <c r="U14" s="58"/>
    </row>
    <row r="15" spans="1:21" x14ac:dyDescent="0.25">
      <c r="A15" s="78"/>
      <c r="B15" s="78"/>
      <c r="C15" s="78" t="s">
        <v>143</v>
      </c>
      <c r="D15" s="78" t="s">
        <v>148</v>
      </c>
      <c r="E15" s="58"/>
      <c r="F15" s="58"/>
      <c r="G15" s="58"/>
      <c r="H15" s="58"/>
      <c r="I15" s="58"/>
      <c r="J15" s="58"/>
      <c r="K15" s="58"/>
      <c r="L15" s="58"/>
      <c r="M15" s="58"/>
      <c r="N15" s="58"/>
      <c r="O15" s="58"/>
      <c r="P15" s="58"/>
      <c r="Q15" s="58"/>
      <c r="R15" s="58"/>
      <c r="S15" s="58"/>
      <c r="T15" s="58"/>
      <c r="U15" s="58"/>
    </row>
    <row r="16" spans="1:21" x14ac:dyDescent="0.25">
      <c r="A16" s="78"/>
      <c r="B16" s="78"/>
      <c r="C16" s="78"/>
      <c r="D16" s="78"/>
      <c r="E16" s="58"/>
      <c r="F16" s="58"/>
      <c r="G16" s="58"/>
      <c r="H16" s="58"/>
      <c r="I16" s="58"/>
      <c r="J16" s="58"/>
      <c r="K16" s="58"/>
      <c r="L16" s="58"/>
      <c r="M16" s="58"/>
      <c r="N16" s="58"/>
      <c r="O16" s="58"/>
    </row>
    <row r="17" spans="1:15" x14ac:dyDescent="0.25">
      <c r="A17" s="78"/>
      <c r="B17" s="78"/>
      <c r="C17" s="78"/>
      <c r="D17" s="78"/>
      <c r="E17" s="58"/>
      <c r="F17" s="58"/>
      <c r="G17" s="58"/>
      <c r="H17" s="58"/>
      <c r="I17" s="58"/>
      <c r="J17" s="58"/>
      <c r="K17" s="58"/>
      <c r="L17" s="58"/>
      <c r="M17" s="58"/>
      <c r="N17" s="58"/>
      <c r="O17" s="58"/>
    </row>
    <row r="18" spans="1:15" x14ac:dyDescent="0.25">
      <c r="A18" s="78"/>
      <c r="B18" s="82"/>
      <c r="C18" s="82"/>
      <c r="D18" s="82"/>
      <c r="E18" s="58"/>
      <c r="F18" s="58"/>
      <c r="G18" s="58"/>
      <c r="H18" s="58"/>
      <c r="I18" s="58"/>
      <c r="J18" s="58"/>
      <c r="K18" s="58"/>
      <c r="L18" s="58"/>
      <c r="M18" s="58"/>
      <c r="N18" s="58"/>
      <c r="O18" s="58"/>
    </row>
    <row r="19" spans="1:15" x14ac:dyDescent="0.25">
      <c r="A19" s="78"/>
      <c r="B19" s="82"/>
      <c r="C19" s="82"/>
      <c r="D19" s="82"/>
      <c r="E19" s="58"/>
      <c r="F19" s="58"/>
      <c r="G19" s="58"/>
      <c r="H19" s="58"/>
      <c r="I19" s="58"/>
      <c r="J19" s="58"/>
      <c r="K19" s="58"/>
      <c r="L19" s="58"/>
      <c r="M19" s="58"/>
      <c r="N19" s="58"/>
      <c r="O19" s="58"/>
    </row>
    <row r="20" spans="1:15" x14ac:dyDescent="0.25">
      <c r="A20" s="78"/>
      <c r="B20" s="82"/>
      <c r="C20" s="82"/>
      <c r="D20" s="82"/>
      <c r="E20" s="58"/>
      <c r="F20" s="58"/>
      <c r="G20" s="58"/>
      <c r="H20" s="58"/>
      <c r="I20" s="58"/>
      <c r="J20" s="58"/>
      <c r="K20" s="58"/>
      <c r="L20" s="58"/>
      <c r="M20" s="58"/>
      <c r="N20" s="58"/>
      <c r="O20" s="58"/>
    </row>
    <row r="21" spans="1:15" x14ac:dyDescent="0.25">
      <c r="A21" s="78"/>
      <c r="B21" s="82"/>
      <c r="C21" s="82"/>
      <c r="D21" s="82"/>
      <c r="E21" s="58"/>
      <c r="F21" s="58"/>
      <c r="G21" s="58"/>
      <c r="H21" s="58"/>
      <c r="I21" s="58"/>
      <c r="J21" s="58"/>
      <c r="K21" s="58"/>
      <c r="L21" s="58"/>
      <c r="M21" s="58"/>
      <c r="N21" s="58"/>
      <c r="O21" s="58"/>
    </row>
    <row r="22" spans="1:15" ht="20.25" x14ac:dyDescent="0.25">
      <c r="A22" s="78"/>
      <c r="B22" s="78"/>
      <c r="C22" s="80"/>
      <c r="D22" s="80"/>
      <c r="E22" s="58"/>
      <c r="F22" s="58"/>
      <c r="G22" s="58"/>
      <c r="H22" s="58"/>
      <c r="I22" s="58"/>
      <c r="J22" s="58"/>
      <c r="K22" s="58"/>
      <c r="L22" s="58"/>
      <c r="M22" s="58"/>
      <c r="N22" s="58"/>
      <c r="O22" s="58"/>
    </row>
    <row r="23" spans="1:15" ht="20.25" x14ac:dyDescent="0.25">
      <c r="A23" s="78"/>
      <c r="B23" s="78"/>
      <c r="C23" s="80"/>
      <c r="D23" s="80"/>
      <c r="E23" s="58"/>
      <c r="F23" s="58"/>
      <c r="G23" s="58"/>
      <c r="H23" s="58"/>
      <c r="I23" s="58"/>
      <c r="J23" s="58"/>
      <c r="K23" s="58"/>
      <c r="L23" s="58"/>
      <c r="M23" s="58"/>
      <c r="N23" s="58"/>
      <c r="O23" s="58"/>
    </row>
    <row r="24" spans="1:15" ht="20.25" x14ac:dyDescent="0.25">
      <c r="A24" s="78"/>
      <c r="B24" s="78"/>
      <c r="C24" s="80"/>
      <c r="D24" s="80"/>
      <c r="E24" s="58"/>
      <c r="F24" s="58"/>
      <c r="G24" s="58"/>
      <c r="H24" s="58"/>
      <c r="I24" s="58"/>
      <c r="J24" s="58"/>
      <c r="K24" s="58"/>
      <c r="L24" s="58"/>
      <c r="M24" s="58"/>
      <c r="N24" s="58"/>
      <c r="O24" s="58"/>
    </row>
    <row r="25" spans="1:15" ht="20.25" x14ac:dyDescent="0.25">
      <c r="A25" s="78"/>
      <c r="B25" s="78"/>
      <c r="C25" s="80"/>
      <c r="D25" s="80"/>
      <c r="E25" s="58"/>
      <c r="F25" s="58"/>
      <c r="G25" s="58"/>
      <c r="H25" s="58"/>
      <c r="I25" s="58"/>
      <c r="J25" s="58"/>
      <c r="K25" s="58"/>
      <c r="L25" s="58"/>
      <c r="M25" s="58"/>
      <c r="N25" s="58"/>
      <c r="O25" s="58"/>
    </row>
    <row r="26" spans="1:15" ht="20.25" x14ac:dyDescent="0.25">
      <c r="A26" s="78"/>
      <c r="B26" s="78"/>
      <c r="C26" s="80"/>
      <c r="D26" s="80"/>
      <c r="E26" s="58"/>
      <c r="F26" s="58"/>
      <c r="G26" s="58"/>
      <c r="H26" s="58"/>
      <c r="I26" s="58"/>
      <c r="J26" s="58"/>
      <c r="K26" s="58"/>
      <c r="L26" s="58"/>
      <c r="M26" s="58"/>
      <c r="N26" s="58"/>
      <c r="O26" s="58"/>
    </row>
    <row r="27" spans="1:15" ht="20.25" x14ac:dyDescent="0.25">
      <c r="A27" s="78"/>
      <c r="B27" s="78"/>
      <c r="C27" s="80"/>
      <c r="D27" s="80"/>
      <c r="E27" s="58"/>
      <c r="F27" s="58"/>
      <c r="G27" s="58"/>
      <c r="H27" s="58"/>
      <c r="I27" s="58"/>
      <c r="J27" s="58"/>
      <c r="K27" s="58"/>
      <c r="L27" s="58"/>
      <c r="M27" s="58"/>
      <c r="N27" s="58"/>
      <c r="O27" s="58"/>
    </row>
    <row r="28" spans="1:15" ht="20.25" x14ac:dyDescent="0.25">
      <c r="A28" s="78"/>
      <c r="B28" s="78"/>
      <c r="C28" s="80"/>
      <c r="D28" s="80"/>
      <c r="E28" s="58"/>
      <c r="F28" s="58"/>
      <c r="G28" s="58"/>
      <c r="H28" s="58"/>
      <c r="I28" s="58"/>
      <c r="J28" s="58"/>
      <c r="K28" s="58"/>
      <c r="L28" s="58"/>
      <c r="M28" s="58"/>
      <c r="N28" s="58"/>
      <c r="O28" s="58"/>
    </row>
    <row r="29" spans="1:15" ht="20.25" x14ac:dyDescent="0.25">
      <c r="A29" s="78"/>
      <c r="B29" s="78"/>
      <c r="C29" s="80"/>
      <c r="D29" s="80"/>
      <c r="E29" s="58"/>
      <c r="F29" s="58"/>
      <c r="G29" s="58"/>
      <c r="H29" s="58"/>
      <c r="I29" s="58"/>
      <c r="J29" s="58"/>
      <c r="K29" s="58"/>
      <c r="L29" s="58"/>
      <c r="M29" s="58"/>
      <c r="N29" s="58"/>
      <c r="O29" s="58"/>
    </row>
    <row r="30" spans="1:15" ht="20.25" x14ac:dyDescent="0.25">
      <c r="A30" s="78"/>
      <c r="B30" s="78"/>
      <c r="C30" s="80"/>
      <c r="D30" s="80"/>
      <c r="E30" s="58"/>
      <c r="F30" s="58"/>
      <c r="G30" s="58"/>
      <c r="H30" s="58"/>
      <c r="I30" s="58"/>
      <c r="J30" s="58"/>
      <c r="K30" s="58"/>
      <c r="L30" s="58"/>
      <c r="M30" s="58"/>
      <c r="N30" s="58"/>
      <c r="O30" s="58"/>
    </row>
    <row r="31" spans="1:15" ht="20.25" x14ac:dyDescent="0.25">
      <c r="A31" s="78"/>
      <c r="B31" s="78"/>
      <c r="C31" s="80"/>
      <c r="D31" s="80"/>
      <c r="E31" s="58"/>
      <c r="F31" s="58"/>
      <c r="G31" s="58"/>
      <c r="H31" s="58"/>
      <c r="I31" s="58"/>
      <c r="J31" s="58"/>
      <c r="K31" s="58"/>
      <c r="L31" s="58"/>
      <c r="M31" s="58"/>
      <c r="N31" s="58"/>
      <c r="O31" s="58"/>
    </row>
    <row r="32" spans="1:15" ht="20.25" x14ac:dyDescent="0.25">
      <c r="A32" s="78"/>
      <c r="B32" s="78"/>
      <c r="C32" s="80"/>
      <c r="D32" s="80"/>
      <c r="E32" s="58"/>
      <c r="F32" s="58"/>
      <c r="G32" s="58"/>
      <c r="H32" s="58"/>
      <c r="I32" s="58"/>
      <c r="J32" s="58"/>
      <c r="K32" s="58"/>
      <c r="L32" s="58"/>
      <c r="M32" s="58"/>
      <c r="N32" s="58"/>
      <c r="O32" s="58"/>
    </row>
    <row r="33" spans="1:15" ht="20.25" x14ac:dyDescent="0.25">
      <c r="A33" s="78"/>
      <c r="B33" s="78"/>
      <c r="C33" s="80"/>
      <c r="D33" s="80"/>
      <c r="E33" s="58"/>
      <c r="F33" s="58"/>
      <c r="G33" s="58"/>
      <c r="H33" s="58"/>
      <c r="I33" s="58"/>
      <c r="J33" s="58"/>
      <c r="K33" s="58"/>
      <c r="L33" s="58"/>
      <c r="M33" s="58"/>
      <c r="N33" s="58"/>
      <c r="O33" s="58"/>
    </row>
    <row r="34" spans="1:15" ht="20.25" x14ac:dyDescent="0.25">
      <c r="A34" s="78"/>
      <c r="B34" s="78"/>
      <c r="C34" s="80"/>
      <c r="D34" s="80"/>
      <c r="E34" s="58"/>
      <c r="F34" s="58"/>
      <c r="G34" s="58"/>
      <c r="H34" s="58"/>
      <c r="I34" s="58"/>
      <c r="J34" s="58"/>
      <c r="K34" s="58"/>
      <c r="L34" s="58"/>
      <c r="M34" s="58"/>
      <c r="N34" s="58"/>
      <c r="O34" s="58"/>
    </row>
    <row r="35" spans="1:15" ht="20.25" x14ac:dyDescent="0.25">
      <c r="A35" s="78"/>
      <c r="B35" s="78"/>
      <c r="C35" s="80"/>
      <c r="D35" s="80"/>
      <c r="E35" s="58"/>
      <c r="F35" s="58"/>
      <c r="G35" s="58"/>
      <c r="H35" s="58"/>
      <c r="I35" s="58"/>
      <c r="J35" s="58"/>
      <c r="K35" s="58"/>
      <c r="L35" s="58"/>
      <c r="M35" s="58"/>
      <c r="N35" s="58"/>
      <c r="O35" s="58"/>
    </row>
    <row r="36" spans="1:15" ht="20.25" x14ac:dyDescent="0.25">
      <c r="A36" s="78"/>
      <c r="B36" s="78"/>
      <c r="C36" s="80"/>
      <c r="D36" s="80"/>
      <c r="E36" s="58"/>
      <c r="F36" s="58"/>
      <c r="G36" s="58"/>
      <c r="H36" s="58"/>
      <c r="I36" s="58"/>
      <c r="J36" s="58"/>
      <c r="K36" s="58"/>
      <c r="L36" s="58"/>
      <c r="M36" s="58"/>
      <c r="N36" s="58"/>
      <c r="O36" s="58"/>
    </row>
    <row r="37" spans="1:15" ht="20.25" x14ac:dyDescent="0.25">
      <c r="A37" s="78"/>
      <c r="B37" s="78"/>
      <c r="C37" s="80"/>
      <c r="D37" s="80"/>
      <c r="E37" s="58"/>
      <c r="F37" s="58"/>
      <c r="G37" s="58"/>
      <c r="H37" s="58"/>
      <c r="I37" s="58"/>
      <c r="J37" s="58"/>
      <c r="K37" s="58"/>
      <c r="L37" s="58"/>
      <c r="M37" s="58"/>
      <c r="N37" s="58"/>
      <c r="O37" s="58"/>
    </row>
    <row r="38" spans="1:15" ht="20.25" x14ac:dyDescent="0.25">
      <c r="A38" s="78"/>
      <c r="B38" s="78"/>
      <c r="C38" s="80"/>
      <c r="D38" s="80"/>
      <c r="E38" s="58"/>
      <c r="F38" s="58"/>
      <c r="G38" s="58"/>
      <c r="H38" s="58"/>
      <c r="I38" s="58"/>
      <c r="J38" s="58"/>
      <c r="K38" s="58"/>
      <c r="L38" s="58"/>
      <c r="M38" s="58"/>
      <c r="N38" s="58"/>
      <c r="O38" s="58"/>
    </row>
    <row r="39" spans="1:15" ht="20.25" x14ac:dyDescent="0.25">
      <c r="A39" s="78"/>
      <c r="B39" s="78"/>
      <c r="C39" s="80"/>
      <c r="D39" s="80"/>
      <c r="E39" s="58"/>
      <c r="F39" s="58"/>
      <c r="G39" s="58"/>
      <c r="H39" s="58"/>
      <c r="I39" s="58"/>
      <c r="J39" s="58"/>
      <c r="K39" s="58"/>
      <c r="L39" s="58"/>
      <c r="M39" s="58"/>
      <c r="N39" s="58"/>
      <c r="O39" s="58"/>
    </row>
    <row r="40" spans="1:15" ht="20.25" x14ac:dyDescent="0.25">
      <c r="A40" s="78"/>
      <c r="B40" s="78"/>
      <c r="C40" s="80"/>
      <c r="D40" s="80"/>
      <c r="E40" s="58"/>
      <c r="F40" s="58"/>
      <c r="G40" s="58"/>
      <c r="H40" s="58"/>
      <c r="I40" s="58"/>
      <c r="J40" s="58"/>
      <c r="K40" s="58"/>
      <c r="L40" s="58"/>
      <c r="M40" s="58"/>
      <c r="N40" s="58"/>
      <c r="O40" s="58"/>
    </row>
    <row r="41" spans="1:15" ht="20.25" x14ac:dyDescent="0.25">
      <c r="A41" s="78"/>
      <c r="B41" s="78"/>
      <c r="C41" s="80"/>
      <c r="D41" s="80"/>
      <c r="E41" s="58"/>
      <c r="F41" s="58"/>
      <c r="G41" s="58"/>
      <c r="H41" s="58"/>
      <c r="I41" s="58"/>
      <c r="J41" s="58"/>
      <c r="K41" s="58"/>
      <c r="L41" s="58"/>
      <c r="M41" s="58"/>
      <c r="N41" s="58"/>
      <c r="O41" s="58"/>
    </row>
    <row r="42" spans="1:15" ht="20.25" x14ac:dyDescent="0.25">
      <c r="A42" s="78"/>
      <c r="B42" s="78"/>
      <c r="C42" s="80"/>
      <c r="D42" s="80"/>
      <c r="E42" s="58"/>
      <c r="F42" s="58"/>
      <c r="G42" s="58"/>
      <c r="H42" s="58"/>
      <c r="I42" s="58"/>
      <c r="J42" s="58"/>
      <c r="K42" s="58"/>
      <c r="L42" s="58"/>
      <c r="M42" s="58"/>
      <c r="N42" s="58"/>
      <c r="O42" s="58"/>
    </row>
    <row r="43" spans="1:15" ht="20.25" x14ac:dyDescent="0.25">
      <c r="A43" s="78"/>
      <c r="B43" s="78"/>
      <c r="C43" s="80"/>
      <c r="D43" s="80"/>
      <c r="E43" s="58"/>
      <c r="F43" s="58"/>
      <c r="G43" s="58"/>
      <c r="H43" s="58"/>
      <c r="I43" s="58"/>
      <c r="J43" s="58"/>
      <c r="K43" s="58"/>
      <c r="L43" s="58"/>
      <c r="M43" s="58"/>
      <c r="N43" s="58"/>
      <c r="O43" s="58"/>
    </row>
    <row r="44" spans="1:15" ht="20.25" x14ac:dyDescent="0.25">
      <c r="A44" s="78"/>
      <c r="B44" s="78"/>
      <c r="C44" s="80"/>
      <c r="D44" s="80"/>
      <c r="E44" s="58"/>
      <c r="F44" s="58"/>
      <c r="G44" s="58"/>
      <c r="H44" s="58"/>
      <c r="I44" s="58"/>
      <c r="J44" s="58"/>
      <c r="K44" s="58"/>
      <c r="L44" s="58"/>
      <c r="M44" s="58"/>
      <c r="N44" s="58"/>
      <c r="O44" s="58"/>
    </row>
    <row r="45" spans="1:15" ht="20.25" x14ac:dyDescent="0.25">
      <c r="A45" s="78"/>
      <c r="B45" s="78"/>
      <c r="C45" s="80"/>
      <c r="D45" s="80"/>
      <c r="E45" s="58"/>
      <c r="F45" s="58"/>
      <c r="G45" s="58"/>
      <c r="H45" s="58"/>
      <c r="I45" s="58"/>
      <c r="J45" s="58"/>
      <c r="K45" s="58"/>
      <c r="L45" s="58"/>
      <c r="M45" s="58"/>
      <c r="N45" s="58"/>
      <c r="O45" s="58"/>
    </row>
    <row r="46" spans="1:15" ht="20.25" x14ac:dyDescent="0.25">
      <c r="A46" s="78"/>
      <c r="B46" s="78"/>
      <c r="C46" s="80"/>
      <c r="D46" s="80"/>
      <c r="E46" s="58"/>
      <c r="F46" s="58"/>
      <c r="G46" s="58"/>
      <c r="H46" s="58"/>
      <c r="I46" s="58"/>
      <c r="J46" s="58"/>
      <c r="K46" s="58"/>
      <c r="L46" s="58"/>
      <c r="M46" s="58"/>
      <c r="N46" s="58"/>
      <c r="O46" s="58"/>
    </row>
    <row r="47" spans="1:15" ht="20.25" x14ac:dyDescent="0.25">
      <c r="A47" s="78"/>
      <c r="B47" s="78"/>
      <c r="C47" s="80"/>
      <c r="D47" s="80"/>
      <c r="E47" s="58"/>
      <c r="F47" s="58"/>
      <c r="G47" s="58"/>
      <c r="H47" s="58"/>
      <c r="I47" s="58"/>
      <c r="J47" s="58"/>
      <c r="K47" s="58"/>
      <c r="L47" s="58"/>
      <c r="M47" s="58"/>
      <c r="N47" s="58"/>
      <c r="O47" s="58"/>
    </row>
    <row r="48" spans="1:15" ht="20.25" x14ac:dyDescent="0.25">
      <c r="A48" s="78"/>
      <c r="B48" s="78"/>
      <c r="C48" s="80"/>
      <c r="D48" s="80"/>
      <c r="E48" s="58"/>
      <c r="F48" s="58"/>
      <c r="G48" s="58"/>
      <c r="H48" s="58"/>
      <c r="I48" s="58"/>
      <c r="J48" s="58"/>
      <c r="K48" s="58"/>
      <c r="L48" s="58"/>
      <c r="M48" s="58"/>
      <c r="N48" s="58"/>
      <c r="O48" s="58"/>
    </row>
    <row r="49" spans="1:15" ht="20.25" x14ac:dyDescent="0.25">
      <c r="A49" s="78"/>
      <c r="B49" s="78"/>
      <c r="C49" s="80"/>
      <c r="D49" s="80"/>
      <c r="E49" s="58"/>
      <c r="F49" s="58"/>
      <c r="G49" s="58"/>
      <c r="H49" s="58"/>
      <c r="I49" s="58"/>
      <c r="J49" s="58"/>
      <c r="K49" s="58"/>
      <c r="L49" s="58"/>
      <c r="M49" s="58"/>
      <c r="N49" s="58"/>
      <c r="O49" s="58"/>
    </row>
    <row r="50" spans="1:15" ht="20.25" x14ac:dyDescent="0.25">
      <c r="A50" s="78"/>
      <c r="B50" s="78"/>
      <c r="C50" s="80"/>
      <c r="D50" s="80"/>
      <c r="E50" s="58"/>
      <c r="F50" s="58"/>
      <c r="G50" s="58"/>
      <c r="H50" s="58"/>
      <c r="I50" s="58"/>
      <c r="J50" s="58"/>
      <c r="K50" s="58"/>
      <c r="L50" s="58"/>
      <c r="M50" s="58"/>
      <c r="N50" s="58"/>
      <c r="O50" s="58"/>
    </row>
    <row r="51" spans="1:15" ht="20.25" x14ac:dyDescent="0.25">
      <c r="A51" s="78"/>
      <c r="B51" s="78"/>
      <c r="C51" s="80"/>
      <c r="D51" s="80"/>
      <c r="E51" s="58"/>
      <c r="F51" s="58"/>
      <c r="G51" s="58"/>
      <c r="H51" s="58"/>
      <c r="I51" s="58"/>
      <c r="J51" s="58"/>
      <c r="K51" s="58"/>
      <c r="L51" s="58"/>
      <c r="M51" s="58"/>
      <c r="N51" s="58"/>
      <c r="O51" s="58"/>
    </row>
    <row r="52" spans="1:15" ht="20.25" x14ac:dyDescent="0.25">
      <c r="A52" s="78"/>
      <c r="B52" s="20"/>
      <c r="C52" s="30"/>
      <c r="D52" s="30"/>
    </row>
    <row r="53" spans="1:15" ht="20.25" x14ac:dyDescent="0.25">
      <c r="A53" s="78"/>
      <c r="B53" s="20"/>
      <c r="C53" s="30"/>
      <c r="D53" s="30"/>
    </row>
    <row r="54" spans="1:15" ht="20.25" x14ac:dyDescent="0.25">
      <c r="A54" s="78"/>
      <c r="B54" s="20"/>
      <c r="C54" s="30"/>
      <c r="D54" s="30"/>
    </row>
    <row r="55" spans="1:15" ht="20.25" x14ac:dyDescent="0.25">
      <c r="A55" s="78"/>
      <c r="B55" s="20"/>
      <c r="C55" s="30"/>
      <c r="D55" s="30"/>
    </row>
    <row r="56" spans="1:15" ht="20.25" x14ac:dyDescent="0.25">
      <c r="A56" s="78"/>
      <c r="B56" s="20"/>
      <c r="C56" s="30"/>
      <c r="D56" s="30"/>
    </row>
    <row r="57" spans="1:15" ht="20.25" x14ac:dyDescent="0.25">
      <c r="A57" s="78"/>
      <c r="B57" s="20"/>
      <c r="C57" s="30"/>
      <c r="D57" s="30"/>
    </row>
    <row r="58" spans="1:15" ht="20.25" x14ac:dyDescent="0.25">
      <c r="A58" s="78"/>
      <c r="B58" s="20"/>
      <c r="C58" s="30"/>
      <c r="D58" s="30"/>
    </row>
    <row r="59" spans="1:15" ht="20.25" x14ac:dyDescent="0.25">
      <c r="A59" s="78"/>
      <c r="B59" s="20"/>
      <c r="C59" s="30"/>
      <c r="D59" s="30"/>
    </row>
    <row r="60" spans="1:15" ht="20.25" x14ac:dyDescent="0.25">
      <c r="A60" s="78"/>
      <c r="B60" s="20"/>
      <c r="C60" s="30"/>
      <c r="D60" s="30"/>
    </row>
    <row r="61" spans="1:15" ht="20.25" x14ac:dyDescent="0.25">
      <c r="A61" s="78"/>
      <c r="B61" s="20"/>
      <c r="C61" s="30"/>
      <c r="D61" s="30"/>
    </row>
    <row r="62" spans="1:15" ht="20.25" x14ac:dyDescent="0.25">
      <c r="A62" s="78"/>
      <c r="B62" s="20"/>
      <c r="C62" s="30"/>
      <c r="D62" s="30"/>
    </row>
    <row r="63" spans="1:15" ht="20.25" x14ac:dyDescent="0.25">
      <c r="A63" s="78"/>
      <c r="B63" s="20"/>
      <c r="C63" s="30"/>
      <c r="D63" s="30"/>
    </row>
    <row r="64" spans="1:15" ht="20.25" x14ac:dyDescent="0.25">
      <c r="A64" s="78"/>
      <c r="B64" s="20"/>
      <c r="C64" s="30"/>
      <c r="D64" s="30"/>
    </row>
    <row r="65" spans="1:4" ht="20.25" x14ac:dyDescent="0.25">
      <c r="A65" s="78"/>
      <c r="B65" s="20"/>
      <c r="C65" s="30"/>
      <c r="D65" s="30"/>
    </row>
    <row r="66" spans="1:4" ht="20.25" x14ac:dyDescent="0.25">
      <c r="A66" s="78"/>
      <c r="B66" s="20"/>
      <c r="C66" s="30"/>
      <c r="D66" s="30"/>
    </row>
    <row r="67" spans="1:4" ht="20.25" x14ac:dyDescent="0.25">
      <c r="A67" s="78"/>
      <c r="B67" s="20"/>
      <c r="C67" s="30"/>
      <c r="D67" s="30"/>
    </row>
    <row r="68" spans="1:4" ht="20.25" x14ac:dyDescent="0.25">
      <c r="A68" s="78"/>
      <c r="B68" s="20"/>
      <c r="C68" s="30"/>
      <c r="D68" s="30"/>
    </row>
    <row r="69" spans="1:4" ht="20.25" x14ac:dyDescent="0.25">
      <c r="A69" s="78"/>
      <c r="B69" s="20"/>
      <c r="C69" s="30"/>
      <c r="D69" s="30"/>
    </row>
    <row r="70" spans="1:4" ht="20.25" x14ac:dyDescent="0.25">
      <c r="A70" s="78"/>
      <c r="B70" s="20"/>
      <c r="C70" s="30"/>
      <c r="D70" s="30"/>
    </row>
    <row r="71" spans="1:4" ht="20.25" x14ac:dyDescent="0.25">
      <c r="A71" s="78"/>
      <c r="B71" s="20"/>
      <c r="C71" s="30"/>
      <c r="D71" s="30"/>
    </row>
    <row r="72" spans="1:4" ht="20.25" x14ac:dyDescent="0.25">
      <c r="A72" s="78"/>
      <c r="B72" s="20"/>
      <c r="C72" s="30"/>
      <c r="D72" s="30"/>
    </row>
    <row r="73" spans="1:4" ht="20.25" x14ac:dyDescent="0.25">
      <c r="A73" s="78"/>
      <c r="B73" s="20"/>
      <c r="C73" s="30"/>
      <c r="D73" s="30"/>
    </row>
    <row r="74" spans="1:4" ht="20.25" x14ac:dyDescent="0.25">
      <c r="A74" s="78"/>
      <c r="B74" s="20"/>
      <c r="C74" s="30"/>
      <c r="D74" s="30"/>
    </row>
    <row r="75" spans="1:4" ht="20.25" x14ac:dyDescent="0.25">
      <c r="A75" s="78"/>
      <c r="B75" s="20"/>
      <c r="C75" s="30"/>
      <c r="D75" s="30"/>
    </row>
    <row r="76" spans="1:4" ht="20.25" x14ac:dyDescent="0.25">
      <c r="A76" s="78"/>
      <c r="B76" s="20"/>
      <c r="C76" s="30"/>
      <c r="D76" s="30"/>
    </row>
    <row r="77" spans="1:4" ht="20.25" x14ac:dyDescent="0.25">
      <c r="A77" s="78"/>
      <c r="B77" s="20"/>
      <c r="C77" s="30"/>
      <c r="D77" s="30"/>
    </row>
    <row r="78" spans="1:4" ht="20.25" x14ac:dyDescent="0.25">
      <c r="A78" s="78"/>
      <c r="B78" s="20"/>
      <c r="C78" s="30"/>
      <c r="D78" s="30"/>
    </row>
    <row r="79" spans="1:4" ht="20.25" x14ac:dyDescent="0.25">
      <c r="A79" s="78"/>
      <c r="B79" s="20"/>
      <c r="C79" s="30"/>
      <c r="D79" s="30"/>
    </row>
    <row r="80" spans="1:4" ht="20.25" x14ac:dyDescent="0.25">
      <c r="A80" s="78"/>
      <c r="B80" s="20"/>
      <c r="C80" s="30"/>
      <c r="D80" s="30"/>
    </row>
    <row r="81" spans="1:4" ht="20.25" x14ac:dyDescent="0.25">
      <c r="A81" s="78"/>
      <c r="B81" s="20"/>
      <c r="C81" s="30"/>
      <c r="D81" s="30"/>
    </row>
    <row r="82" spans="1:4" ht="20.25" x14ac:dyDescent="0.25">
      <c r="A82" s="78"/>
      <c r="B82" s="20"/>
      <c r="C82" s="30"/>
      <c r="D82" s="30"/>
    </row>
    <row r="83" spans="1:4" ht="20.25" x14ac:dyDescent="0.25">
      <c r="A83" s="78"/>
      <c r="B83" s="20"/>
      <c r="C83" s="30"/>
      <c r="D83" s="30"/>
    </row>
    <row r="84" spans="1:4" ht="20.25" x14ac:dyDescent="0.25">
      <c r="A84" s="78"/>
      <c r="B84" s="20"/>
      <c r="C84" s="30"/>
      <c r="D84" s="30"/>
    </row>
    <row r="85" spans="1:4" ht="20.25" x14ac:dyDescent="0.25">
      <c r="A85" s="78"/>
      <c r="B85" s="20"/>
      <c r="C85" s="30"/>
      <c r="D85" s="30"/>
    </row>
    <row r="86" spans="1:4" ht="20.25" x14ac:dyDescent="0.25">
      <c r="A86" s="78"/>
      <c r="B86" s="20"/>
      <c r="C86" s="30"/>
      <c r="D86" s="30"/>
    </row>
    <row r="87" spans="1:4" ht="20.25" x14ac:dyDescent="0.25">
      <c r="A87" s="78"/>
      <c r="B87" s="20"/>
      <c r="C87" s="30"/>
      <c r="D87" s="30"/>
    </row>
    <row r="88" spans="1:4" ht="20.25" x14ac:dyDescent="0.25">
      <c r="A88" s="78"/>
      <c r="B88" s="20"/>
      <c r="C88" s="30"/>
      <c r="D88" s="30"/>
    </row>
    <row r="89" spans="1:4" ht="20.25" x14ac:dyDescent="0.25">
      <c r="A89" s="78"/>
      <c r="B89" s="20"/>
      <c r="C89" s="30"/>
      <c r="D89" s="30"/>
    </row>
    <row r="90" spans="1:4" ht="20.25" x14ac:dyDescent="0.25">
      <c r="A90" s="78"/>
      <c r="B90" s="20"/>
      <c r="C90" s="30"/>
      <c r="D90" s="30"/>
    </row>
    <row r="91" spans="1:4" ht="20.25" x14ac:dyDescent="0.25">
      <c r="A91" s="78"/>
      <c r="B91" s="20"/>
      <c r="C91" s="30"/>
      <c r="D91" s="30"/>
    </row>
    <row r="92" spans="1:4" ht="20.25" x14ac:dyDescent="0.25">
      <c r="A92" s="78"/>
      <c r="B92" s="20"/>
      <c r="C92" s="30"/>
      <c r="D92" s="30"/>
    </row>
    <row r="93" spans="1:4" ht="20.25" x14ac:dyDescent="0.25">
      <c r="A93" s="78"/>
      <c r="B93" s="20"/>
      <c r="C93" s="30"/>
      <c r="D93" s="30"/>
    </row>
    <row r="94" spans="1:4" ht="20.25" x14ac:dyDescent="0.25">
      <c r="A94" s="78"/>
      <c r="B94" s="20"/>
      <c r="C94" s="30"/>
      <c r="D94" s="30"/>
    </row>
    <row r="95" spans="1:4" ht="20.25" x14ac:dyDescent="0.25">
      <c r="A95" s="78"/>
      <c r="B95" s="20"/>
      <c r="C95" s="30"/>
      <c r="D95" s="30"/>
    </row>
    <row r="96" spans="1:4" ht="20.25" x14ac:dyDescent="0.25">
      <c r="A96" s="78"/>
      <c r="B96" s="20"/>
      <c r="C96" s="30"/>
      <c r="D96" s="30"/>
    </row>
    <row r="97" spans="1:4" ht="20.25" x14ac:dyDescent="0.25">
      <c r="A97" s="78"/>
      <c r="B97" s="20"/>
      <c r="C97" s="30"/>
      <c r="D97" s="30"/>
    </row>
    <row r="98" spans="1:4" ht="20.25" x14ac:dyDescent="0.25">
      <c r="A98" s="78"/>
      <c r="B98" s="20"/>
      <c r="C98" s="30"/>
      <c r="D98" s="30"/>
    </row>
    <row r="99" spans="1:4" ht="20.25" x14ac:dyDescent="0.25">
      <c r="A99" s="78"/>
      <c r="B99" s="20"/>
      <c r="C99" s="30"/>
      <c r="D99" s="30"/>
    </row>
    <row r="100" spans="1:4" ht="20.25" x14ac:dyDescent="0.25">
      <c r="A100" s="78"/>
      <c r="B100" s="20"/>
      <c r="C100" s="30"/>
      <c r="D100" s="30"/>
    </row>
    <row r="101" spans="1:4" ht="20.25" x14ac:dyDescent="0.25">
      <c r="A101" s="78"/>
      <c r="B101" s="20"/>
      <c r="C101" s="30"/>
      <c r="D101" s="30"/>
    </row>
    <row r="102" spans="1:4" ht="20.25" x14ac:dyDescent="0.25">
      <c r="A102" s="78"/>
      <c r="B102" s="20"/>
      <c r="C102" s="30"/>
      <c r="D102" s="30"/>
    </row>
    <row r="103" spans="1:4" ht="20.25" x14ac:dyDescent="0.25">
      <c r="A103" s="78"/>
      <c r="B103" s="20"/>
      <c r="C103" s="30"/>
      <c r="D103" s="30"/>
    </row>
    <row r="104" spans="1:4" ht="20.25" x14ac:dyDescent="0.25">
      <c r="A104" s="78"/>
      <c r="B104" s="20"/>
      <c r="C104" s="30"/>
      <c r="D104" s="30"/>
    </row>
    <row r="105" spans="1:4" ht="20.25" x14ac:dyDescent="0.25">
      <c r="A105" s="78"/>
      <c r="B105" s="20"/>
      <c r="C105" s="30"/>
      <c r="D105" s="30"/>
    </row>
    <row r="106" spans="1:4" ht="20.25" x14ac:dyDescent="0.25">
      <c r="A106" s="78"/>
      <c r="B106" s="20"/>
      <c r="C106" s="30"/>
      <c r="D106" s="30"/>
    </row>
    <row r="107" spans="1:4" ht="20.25" x14ac:dyDescent="0.25">
      <c r="A107" s="78"/>
      <c r="B107" s="20"/>
      <c r="C107" s="30"/>
      <c r="D107" s="30"/>
    </row>
    <row r="108" spans="1:4" ht="20.25" x14ac:dyDescent="0.25">
      <c r="A108" s="78"/>
      <c r="B108" s="20"/>
      <c r="C108" s="30"/>
      <c r="D108" s="30"/>
    </row>
    <row r="109" spans="1:4" ht="20.25" x14ac:dyDescent="0.25">
      <c r="A109" s="78"/>
      <c r="B109" s="20"/>
      <c r="C109" s="30"/>
      <c r="D109" s="30"/>
    </row>
    <row r="110" spans="1:4" ht="20.25" x14ac:dyDescent="0.25">
      <c r="A110" s="78"/>
      <c r="B110" s="20"/>
      <c r="C110" s="30"/>
      <c r="D110" s="30"/>
    </row>
    <row r="111" spans="1:4" ht="20.25" x14ac:dyDescent="0.25">
      <c r="A111" s="78"/>
      <c r="B111" s="20"/>
      <c r="C111" s="30"/>
      <c r="D111" s="30"/>
    </row>
    <row r="112" spans="1:4" ht="20.25" x14ac:dyDescent="0.25">
      <c r="A112" s="78"/>
      <c r="B112" s="20"/>
      <c r="C112" s="30"/>
      <c r="D112" s="30"/>
    </row>
    <row r="113" spans="1:4" ht="20.25" x14ac:dyDescent="0.25">
      <c r="A113" s="78"/>
      <c r="B113" s="20"/>
      <c r="C113" s="30"/>
      <c r="D113" s="30"/>
    </row>
    <row r="114" spans="1:4" ht="20.25" x14ac:dyDescent="0.25">
      <c r="A114" s="78"/>
      <c r="B114" s="20"/>
      <c r="C114" s="30"/>
      <c r="D114" s="30"/>
    </row>
    <row r="115" spans="1:4" ht="20.25" x14ac:dyDescent="0.25">
      <c r="A115" s="78"/>
      <c r="B115" s="20"/>
      <c r="C115" s="30"/>
      <c r="D115" s="30"/>
    </row>
    <row r="116" spans="1:4" ht="20.25" x14ac:dyDescent="0.25">
      <c r="A116" s="78"/>
      <c r="B116" s="20"/>
      <c r="C116" s="30"/>
      <c r="D116" s="30"/>
    </row>
    <row r="117" spans="1:4" ht="20.25" x14ac:dyDescent="0.25">
      <c r="A117" s="78"/>
      <c r="B117" s="20"/>
      <c r="C117" s="30"/>
      <c r="D117" s="30"/>
    </row>
    <row r="118" spans="1:4" ht="20.25" x14ac:dyDescent="0.25">
      <c r="A118" s="78"/>
      <c r="B118" s="20"/>
      <c r="C118" s="30"/>
      <c r="D118" s="30"/>
    </row>
    <row r="119" spans="1:4" ht="20.25" x14ac:dyDescent="0.25">
      <c r="A119" s="78"/>
      <c r="B119" s="20"/>
      <c r="C119" s="30"/>
      <c r="D119" s="30"/>
    </row>
    <row r="120" spans="1:4" ht="20.25" x14ac:dyDescent="0.25">
      <c r="A120" s="78"/>
      <c r="B120" s="20"/>
      <c r="C120" s="30"/>
      <c r="D120" s="30"/>
    </row>
    <row r="121" spans="1:4" ht="20.25" x14ac:dyDescent="0.25">
      <c r="A121" s="78"/>
      <c r="B121" s="20"/>
      <c r="C121" s="30"/>
      <c r="D121" s="30"/>
    </row>
    <row r="122" spans="1:4" ht="20.25" x14ac:dyDescent="0.25">
      <c r="A122" s="78"/>
      <c r="B122" s="20"/>
      <c r="C122" s="30"/>
      <c r="D122" s="30"/>
    </row>
    <row r="123" spans="1:4" ht="20.25" x14ac:dyDescent="0.25">
      <c r="A123" s="78"/>
      <c r="B123" s="20"/>
      <c r="C123" s="30"/>
      <c r="D123" s="30"/>
    </row>
    <row r="124" spans="1:4" ht="20.25" x14ac:dyDescent="0.25">
      <c r="A124" s="78"/>
      <c r="B124" s="20"/>
      <c r="C124" s="30"/>
      <c r="D124" s="30"/>
    </row>
    <row r="125" spans="1:4" ht="20.25" x14ac:dyDescent="0.25">
      <c r="A125" s="78"/>
      <c r="B125" s="20"/>
      <c r="C125" s="30"/>
      <c r="D125" s="30"/>
    </row>
    <row r="126" spans="1:4" ht="20.25" x14ac:dyDescent="0.25">
      <c r="A126" s="78"/>
      <c r="B126" s="20"/>
      <c r="C126" s="30"/>
      <c r="D126" s="30"/>
    </row>
    <row r="127" spans="1:4" ht="20.25" x14ac:dyDescent="0.25">
      <c r="A127" s="78"/>
      <c r="B127" s="20"/>
      <c r="C127" s="30"/>
      <c r="D127" s="30"/>
    </row>
    <row r="128" spans="1:4" ht="20.25" x14ac:dyDescent="0.25">
      <c r="A128" s="78"/>
      <c r="B128" s="20"/>
      <c r="C128" s="30"/>
      <c r="D128" s="30"/>
    </row>
    <row r="129" spans="1:4" ht="20.25" x14ac:dyDescent="0.25">
      <c r="A129" s="78"/>
      <c r="B129" s="20"/>
      <c r="C129" s="30"/>
      <c r="D129" s="30"/>
    </row>
    <row r="130" spans="1:4" ht="20.25" x14ac:dyDescent="0.25">
      <c r="A130" s="78"/>
      <c r="B130" s="20"/>
      <c r="C130" s="30"/>
      <c r="D130" s="30"/>
    </row>
    <row r="131" spans="1:4" ht="20.25" x14ac:dyDescent="0.25">
      <c r="A131" s="78"/>
      <c r="B131" s="20"/>
      <c r="C131" s="30"/>
      <c r="D131" s="30"/>
    </row>
    <row r="132" spans="1:4" ht="20.25" x14ac:dyDescent="0.25">
      <c r="A132" s="78"/>
      <c r="B132" s="20"/>
      <c r="C132" s="30"/>
      <c r="D132" s="30"/>
    </row>
    <row r="133" spans="1:4" ht="20.25" x14ac:dyDescent="0.25">
      <c r="A133" s="78"/>
      <c r="B133" s="20"/>
      <c r="C133" s="30"/>
      <c r="D133" s="30"/>
    </row>
    <row r="134" spans="1:4" ht="20.25" x14ac:dyDescent="0.25">
      <c r="A134" s="78"/>
      <c r="B134" s="20"/>
      <c r="C134" s="30"/>
      <c r="D134" s="30"/>
    </row>
    <row r="135" spans="1:4" ht="20.25" x14ac:dyDescent="0.25">
      <c r="A135" s="78"/>
      <c r="B135" s="20"/>
      <c r="C135" s="30"/>
      <c r="D135" s="30"/>
    </row>
    <row r="136" spans="1:4" ht="20.25" x14ac:dyDescent="0.25">
      <c r="A136" s="78"/>
      <c r="B136" s="20"/>
      <c r="C136" s="30"/>
      <c r="D136" s="30"/>
    </row>
    <row r="137" spans="1:4" ht="20.25" x14ac:dyDescent="0.25">
      <c r="A137" s="78"/>
      <c r="B137" s="20"/>
      <c r="C137" s="30"/>
      <c r="D137" s="30"/>
    </row>
    <row r="138" spans="1:4" ht="20.25" x14ac:dyDescent="0.25">
      <c r="A138" s="78"/>
      <c r="B138" s="20"/>
      <c r="C138" s="30"/>
      <c r="D138" s="30"/>
    </row>
    <row r="139" spans="1:4" ht="20.25" x14ac:dyDescent="0.25">
      <c r="A139" s="78"/>
      <c r="B139" s="20"/>
      <c r="C139" s="30"/>
      <c r="D139" s="30"/>
    </row>
    <row r="140" spans="1:4" ht="20.25" x14ac:dyDescent="0.25">
      <c r="A140" s="78"/>
      <c r="B140" s="20"/>
      <c r="C140" s="30"/>
      <c r="D140" s="30"/>
    </row>
    <row r="141" spans="1:4" ht="20.25" x14ac:dyDescent="0.25">
      <c r="A141" s="78"/>
      <c r="B141" s="20"/>
      <c r="C141" s="30"/>
      <c r="D141" s="30"/>
    </row>
    <row r="142" spans="1:4" ht="20.25" x14ac:dyDescent="0.25">
      <c r="A142" s="78"/>
      <c r="B142" s="20"/>
      <c r="C142" s="30"/>
      <c r="D142" s="30"/>
    </row>
    <row r="143" spans="1:4" ht="20.25" x14ac:dyDescent="0.25">
      <c r="A143" s="78"/>
      <c r="B143" s="20"/>
      <c r="C143" s="30"/>
      <c r="D143" s="30"/>
    </row>
    <row r="144" spans="1:4" ht="20.25" x14ac:dyDescent="0.25">
      <c r="A144" s="78"/>
      <c r="B144" s="20"/>
      <c r="C144" s="30"/>
      <c r="D144" s="30"/>
    </row>
    <row r="145" spans="1:4" ht="20.25" x14ac:dyDescent="0.25">
      <c r="A145" s="78"/>
      <c r="B145" s="20"/>
      <c r="C145" s="30"/>
      <c r="D145" s="30"/>
    </row>
    <row r="146" spans="1:4" ht="20.25" x14ac:dyDescent="0.25">
      <c r="A146" s="78"/>
      <c r="B146" s="20"/>
      <c r="C146" s="30"/>
      <c r="D146" s="30"/>
    </row>
    <row r="147" spans="1:4" ht="20.25" x14ac:dyDescent="0.25">
      <c r="A147" s="78"/>
      <c r="B147" s="20"/>
      <c r="C147" s="30"/>
      <c r="D147" s="30"/>
    </row>
    <row r="148" spans="1:4" ht="20.25" x14ac:dyDescent="0.25">
      <c r="A148" s="78"/>
      <c r="B148" s="20"/>
      <c r="C148" s="30"/>
      <c r="D148" s="30"/>
    </row>
    <row r="149" spans="1:4" ht="20.25" x14ac:dyDescent="0.25">
      <c r="A149" s="78"/>
      <c r="B149" s="20"/>
      <c r="C149" s="30"/>
      <c r="D149" s="30"/>
    </row>
    <row r="150" spans="1:4" ht="20.25" x14ac:dyDescent="0.25">
      <c r="A150" s="78"/>
      <c r="B150" s="20"/>
      <c r="C150" s="30"/>
      <c r="D150" s="30"/>
    </row>
    <row r="151" spans="1:4" ht="20.25" x14ac:dyDescent="0.25">
      <c r="A151" s="78"/>
      <c r="B151" s="20"/>
      <c r="C151" s="30"/>
      <c r="D151" s="30"/>
    </row>
    <row r="152" spans="1:4" ht="20.25" x14ac:dyDescent="0.25">
      <c r="A152" s="78"/>
      <c r="B152" s="20"/>
      <c r="C152" s="30"/>
      <c r="D152" s="30"/>
    </row>
    <row r="153" spans="1:4" ht="20.25" x14ac:dyDescent="0.25">
      <c r="A153" s="78"/>
      <c r="B153" s="20"/>
      <c r="C153" s="30"/>
      <c r="D153" s="30"/>
    </row>
    <row r="154" spans="1:4" ht="20.25" x14ac:dyDescent="0.25">
      <c r="A154" s="78"/>
      <c r="B154" s="20"/>
      <c r="C154" s="30"/>
      <c r="D154" s="30"/>
    </row>
    <row r="155" spans="1:4" ht="20.25" x14ac:dyDescent="0.25">
      <c r="A155" s="78"/>
      <c r="B155" s="20"/>
      <c r="C155" s="30"/>
      <c r="D155" s="30"/>
    </row>
    <row r="156" spans="1:4" ht="20.25" x14ac:dyDescent="0.25">
      <c r="A156" s="78"/>
      <c r="B156" s="20"/>
      <c r="C156" s="30"/>
      <c r="D156" s="30"/>
    </row>
    <row r="157" spans="1:4" ht="20.25" x14ac:dyDescent="0.25">
      <c r="A157" s="78"/>
      <c r="B157" s="20"/>
      <c r="C157" s="30"/>
      <c r="D157" s="30"/>
    </row>
    <row r="158" spans="1:4" ht="20.25" x14ac:dyDescent="0.25">
      <c r="A158" s="78"/>
      <c r="B158" s="20"/>
      <c r="C158" s="30"/>
      <c r="D158" s="30"/>
    </row>
    <row r="159" spans="1:4" ht="20.25" x14ac:dyDescent="0.25">
      <c r="A159" s="78"/>
      <c r="B159" s="20"/>
      <c r="C159" s="30"/>
      <c r="D159" s="30"/>
    </row>
    <row r="160" spans="1:4" ht="20.25" x14ac:dyDescent="0.25">
      <c r="A160" s="78"/>
      <c r="B160" s="20"/>
      <c r="C160" s="30"/>
      <c r="D160" s="30"/>
    </row>
    <row r="161" spans="1:4" ht="20.25" x14ac:dyDescent="0.25">
      <c r="A161" s="78"/>
      <c r="B161" s="20"/>
      <c r="C161" s="30"/>
      <c r="D161" s="30"/>
    </row>
    <row r="162" spans="1:4" ht="20.25" x14ac:dyDescent="0.25">
      <c r="A162" s="78"/>
      <c r="B162" s="20"/>
      <c r="C162" s="30"/>
      <c r="D162" s="30"/>
    </row>
    <row r="163" spans="1:4" ht="20.25" x14ac:dyDescent="0.25">
      <c r="A163" s="78"/>
      <c r="B163" s="20"/>
      <c r="C163" s="30"/>
      <c r="D163" s="30"/>
    </row>
    <row r="164" spans="1:4" ht="20.25" x14ac:dyDescent="0.25">
      <c r="A164" s="78"/>
      <c r="B164" s="20"/>
      <c r="C164" s="30"/>
      <c r="D164" s="30"/>
    </row>
    <row r="165" spans="1:4" ht="20.25" x14ac:dyDescent="0.25">
      <c r="A165" s="78"/>
      <c r="B165" s="20"/>
      <c r="C165" s="30"/>
      <c r="D165" s="30"/>
    </row>
    <row r="166" spans="1:4" ht="20.25" x14ac:dyDescent="0.25">
      <c r="A166" s="78"/>
      <c r="B166" s="20"/>
      <c r="C166" s="30"/>
      <c r="D166" s="30"/>
    </row>
    <row r="167" spans="1:4" ht="20.25" x14ac:dyDescent="0.25">
      <c r="A167" s="78"/>
      <c r="B167" s="20"/>
      <c r="C167" s="30"/>
      <c r="D167" s="30"/>
    </row>
    <row r="168" spans="1:4" ht="20.25" x14ac:dyDescent="0.25">
      <c r="A168" s="78"/>
      <c r="B168" s="20"/>
      <c r="C168" s="30"/>
      <c r="D168" s="30"/>
    </row>
    <row r="169" spans="1:4" ht="20.25" x14ac:dyDescent="0.25">
      <c r="A169" s="78"/>
      <c r="B169" s="20"/>
      <c r="C169" s="30"/>
      <c r="D169" s="30"/>
    </row>
    <row r="170" spans="1:4" ht="20.25" x14ac:dyDescent="0.25">
      <c r="A170" s="78"/>
      <c r="B170" s="20"/>
      <c r="C170" s="30"/>
      <c r="D170" s="30"/>
    </row>
    <row r="171" spans="1:4" ht="20.25" x14ac:dyDescent="0.25">
      <c r="A171" s="78"/>
      <c r="B171" s="20"/>
      <c r="C171" s="30"/>
      <c r="D171" s="30"/>
    </row>
    <row r="172" spans="1:4" ht="20.25" x14ac:dyDescent="0.25">
      <c r="A172" s="78"/>
      <c r="B172" s="20"/>
      <c r="C172" s="30"/>
      <c r="D172" s="30"/>
    </row>
    <row r="173" spans="1:4" ht="20.25" x14ac:dyDescent="0.25">
      <c r="A173" s="78"/>
      <c r="B173" s="20"/>
      <c r="C173" s="30"/>
      <c r="D173" s="30"/>
    </row>
    <row r="174" spans="1:4" ht="20.25" x14ac:dyDescent="0.25">
      <c r="A174" s="78"/>
      <c r="B174" s="20"/>
      <c r="C174" s="30"/>
      <c r="D174" s="30"/>
    </row>
    <row r="175" spans="1:4" ht="20.25" x14ac:dyDescent="0.25">
      <c r="A175" s="78"/>
      <c r="B175" s="20"/>
      <c r="C175" s="30"/>
      <c r="D175" s="30"/>
    </row>
    <row r="176" spans="1:4" ht="20.25" x14ac:dyDescent="0.25">
      <c r="A176" s="78"/>
      <c r="B176" s="20"/>
      <c r="C176" s="30"/>
      <c r="D176" s="30"/>
    </row>
    <row r="177" spans="1:4" ht="20.25" x14ac:dyDescent="0.25">
      <c r="A177" s="78"/>
      <c r="B177" s="20"/>
      <c r="C177" s="30"/>
      <c r="D177" s="30"/>
    </row>
    <row r="178" spans="1:4" ht="20.25" x14ac:dyDescent="0.25">
      <c r="A178" s="78"/>
      <c r="B178" s="20"/>
      <c r="C178" s="30"/>
      <c r="D178" s="30"/>
    </row>
    <row r="179" spans="1:4" ht="20.25" x14ac:dyDescent="0.25">
      <c r="A179" s="78"/>
      <c r="B179" s="20"/>
      <c r="C179" s="30"/>
      <c r="D179" s="30"/>
    </row>
    <row r="180" spans="1:4" ht="20.25" x14ac:dyDescent="0.25">
      <c r="A180" s="78"/>
      <c r="B180" s="20"/>
      <c r="C180" s="30"/>
      <c r="D180" s="30"/>
    </row>
    <row r="181" spans="1:4" ht="20.25" x14ac:dyDescent="0.25">
      <c r="A181" s="78"/>
      <c r="B181" s="20"/>
      <c r="C181" s="30"/>
      <c r="D181" s="30"/>
    </row>
    <row r="182" spans="1:4" ht="20.25" x14ac:dyDescent="0.25">
      <c r="A182" s="78"/>
      <c r="B182" s="20"/>
      <c r="C182" s="30"/>
      <c r="D182" s="30"/>
    </row>
    <row r="183" spans="1:4" ht="20.25" x14ac:dyDescent="0.25">
      <c r="A183" s="78"/>
      <c r="B183" s="20"/>
      <c r="C183" s="30"/>
      <c r="D183" s="30"/>
    </row>
    <row r="184" spans="1:4" ht="20.25" x14ac:dyDescent="0.25">
      <c r="A184" s="78"/>
      <c r="B184" s="20"/>
      <c r="C184" s="30"/>
      <c r="D184" s="30"/>
    </row>
    <row r="185" spans="1:4" ht="20.25" x14ac:dyDescent="0.25">
      <c r="A185" s="78"/>
      <c r="B185" s="20"/>
      <c r="C185" s="30"/>
      <c r="D185" s="30"/>
    </row>
    <row r="186" spans="1:4" ht="20.25" x14ac:dyDescent="0.25">
      <c r="A186" s="78"/>
      <c r="B186" s="20"/>
      <c r="C186" s="30"/>
      <c r="D186" s="30"/>
    </row>
    <row r="187" spans="1:4" ht="20.25" x14ac:dyDescent="0.25">
      <c r="A187" s="78"/>
      <c r="B187" s="20"/>
      <c r="C187" s="30"/>
      <c r="D187" s="30"/>
    </row>
    <row r="188" spans="1:4" ht="20.25" x14ac:dyDescent="0.25">
      <c r="A188" s="78"/>
      <c r="B188" s="20"/>
      <c r="C188" s="30"/>
      <c r="D188" s="30"/>
    </row>
    <row r="189" spans="1:4" ht="20.25" x14ac:dyDescent="0.25">
      <c r="A189" s="78"/>
      <c r="B189" s="20"/>
      <c r="C189" s="30"/>
      <c r="D189" s="30"/>
    </row>
    <row r="190" spans="1:4" ht="20.25" x14ac:dyDescent="0.25">
      <c r="A190" s="78"/>
      <c r="B190" s="20"/>
      <c r="C190" s="30"/>
      <c r="D190" s="30"/>
    </row>
    <row r="191" spans="1:4" ht="20.25" x14ac:dyDescent="0.25">
      <c r="A191" s="78"/>
      <c r="B191" s="20"/>
      <c r="C191" s="30"/>
      <c r="D191" s="30"/>
    </row>
    <row r="192" spans="1:4" ht="20.25" x14ac:dyDescent="0.25">
      <c r="A192" s="78"/>
      <c r="B192" s="20"/>
      <c r="C192" s="30"/>
      <c r="D192" s="30"/>
    </row>
    <row r="193" spans="1:4" ht="20.25" x14ac:dyDescent="0.25">
      <c r="A193" s="78"/>
      <c r="B193" s="20"/>
      <c r="C193" s="30"/>
      <c r="D193" s="30"/>
    </row>
    <row r="194" spans="1:4" ht="20.25" x14ac:dyDescent="0.25">
      <c r="A194" s="78"/>
      <c r="B194" s="20"/>
      <c r="C194" s="30"/>
      <c r="D194" s="30"/>
    </row>
    <row r="195" spans="1:4" ht="20.25" x14ac:dyDescent="0.25">
      <c r="A195" s="78"/>
      <c r="B195" s="20"/>
      <c r="C195" s="30"/>
      <c r="D195" s="30"/>
    </row>
    <row r="196" spans="1:4" ht="20.25" x14ac:dyDescent="0.25">
      <c r="A196" s="78"/>
      <c r="B196" s="20"/>
      <c r="C196" s="30"/>
      <c r="D196" s="30"/>
    </row>
    <row r="197" spans="1:4" ht="20.25" x14ac:dyDescent="0.25">
      <c r="A197" s="78"/>
      <c r="B197" s="20"/>
      <c r="C197" s="30"/>
      <c r="D197" s="30"/>
    </row>
    <row r="198" spans="1:4" ht="20.25" x14ac:dyDescent="0.25">
      <c r="A198" s="78"/>
      <c r="B198" s="20"/>
      <c r="C198" s="30"/>
      <c r="D198" s="30"/>
    </row>
    <row r="199" spans="1:4" ht="20.25" x14ac:dyDescent="0.25">
      <c r="A199" s="78"/>
      <c r="B199" s="20"/>
      <c r="C199" s="30"/>
      <c r="D199" s="30"/>
    </row>
    <row r="200" spans="1:4" ht="20.25" x14ac:dyDescent="0.25">
      <c r="A200" s="78"/>
      <c r="B200" s="20"/>
      <c r="C200" s="30"/>
      <c r="D200" s="30"/>
    </row>
    <row r="201" spans="1:4" ht="20.25" x14ac:dyDescent="0.25">
      <c r="A201" s="78"/>
      <c r="B201" s="20"/>
      <c r="C201" s="30"/>
      <c r="D201" s="30"/>
    </row>
    <row r="202" spans="1:4" ht="20.25" x14ac:dyDescent="0.25">
      <c r="A202" s="78"/>
      <c r="B202" s="20"/>
      <c r="C202" s="30"/>
      <c r="D202" s="30"/>
    </row>
    <row r="203" spans="1:4" ht="20.25" x14ac:dyDescent="0.25">
      <c r="A203" s="78"/>
      <c r="B203" s="20"/>
      <c r="C203" s="30"/>
      <c r="D203" s="30"/>
    </row>
    <row r="204" spans="1:4" ht="20.25" x14ac:dyDescent="0.25">
      <c r="A204" s="78"/>
      <c r="B204" s="20"/>
      <c r="C204" s="30"/>
      <c r="D204" s="30"/>
    </row>
    <row r="205" spans="1:4" ht="20.25" x14ac:dyDescent="0.25">
      <c r="A205" s="78"/>
      <c r="B205" s="20"/>
      <c r="C205" s="30"/>
      <c r="D205" s="30"/>
    </row>
    <row r="206" spans="1:4" ht="20.25" x14ac:dyDescent="0.25">
      <c r="A206" s="78"/>
      <c r="B206" s="20"/>
      <c r="C206" s="30"/>
      <c r="D206" s="30"/>
    </row>
    <row r="207" spans="1:4" ht="20.25" x14ac:dyDescent="0.25">
      <c r="A207" s="78"/>
      <c r="B207" s="20"/>
      <c r="C207" s="30"/>
      <c r="D207" s="30"/>
    </row>
    <row r="208" spans="1:4" x14ac:dyDescent="0.25">
      <c r="A208" s="58"/>
      <c r="B208" s="20"/>
      <c r="C208" s="20"/>
      <c r="D208" s="20"/>
    </row>
    <row r="209" spans="1:8" ht="20.25" x14ac:dyDescent="0.25">
      <c r="A209" s="58"/>
      <c r="B209" s="26" t="s">
        <v>82</v>
      </c>
      <c r="C209" s="26" t="s">
        <v>136</v>
      </c>
      <c r="D209" s="29" t="s">
        <v>82</v>
      </c>
      <c r="E209" s="29" t="s">
        <v>136</v>
      </c>
    </row>
    <row r="210" spans="1:8" ht="21" x14ac:dyDescent="0.35">
      <c r="A210" s="58"/>
      <c r="B210" s="27" t="s">
        <v>84</v>
      </c>
      <c r="C210" s="27" t="s">
        <v>52</v>
      </c>
      <c r="D210" t="s">
        <v>84</v>
      </c>
      <c r="F210" t="str">
        <f>IF(NOT(ISBLANK(D210)),D210,IF(NOT(ISBLANK(E210)),"     "&amp;E210,FALSE))</f>
        <v>Afectación Económica o presupuestal</v>
      </c>
      <c r="G210" t="s">
        <v>84</v>
      </c>
      <c r="H210" t="str">
        <f>IF(NOT(ISERROR(MATCH(G210,_xlfn.ANCHORARRAY(B221),0))),F223&amp;"Por favor no seleccionar los criterios de impacto",G210)</f>
        <v>❌Por favor no seleccionar los criterios de impacto</v>
      </c>
    </row>
    <row r="211" spans="1:8" ht="21" x14ac:dyDescent="0.35">
      <c r="A211" s="58"/>
      <c r="B211" s="27" t="s">
        <v>84</v>
      </c>
      <c r="C211" s="27" t="s">
        <v>87</v>
      </c>
      <c r="E211" t="s">
        <v>52</v>
      </c>
      <c r="F211" t="str">
        <f t="shared" ref="F211:F221" si="0">IF(NOT(ISBLANK(D211)),D211,IF(NOT(ISBLANK(E211)),"     "&amp;E211,FALSE))</f>
        <v xml:space="preserve">     Afectación menor a 10 SMLMV .</v>
      </c>
    </row>
    <row r="212" spans="1:8" ht="21" x14ac:dyDescent="0.35">
      <c r="A212" s="58"/>
      <c r="B212" s="27" t="s">
        <v>84</v>
      </c>
      <c r="C212" s="27" t="s">
        <v>88</v>
      </c>
      <c r="E212" t="s">
        <v>87</v>
      </c>
      <c r="F212" t="str">
        <f t="shared" si="0"/>
        <v xml:space="preserve">     Entre 10 y 50 SMLMV </v>
      </c>
    </row>
    <row r="213" spans="1:8" ht="21" x14ac:dyDescent="0.35">
      <c r="A213" s="58"/>
      <c r="B213" s="27" t="s">
        <v>84</v>
      </c>
      <c r="C213" s="27" t="s">
        <v>89</v>
      </c>
      <c r="E213" t="s">
        <v>88</v>
      </c>
      <c r="F213" t="str">
        <f t="shared" si="0"/>
        <v xml:space="preserve">     Entre 50 y 100 SMLMV </v>
      </c>
    </row>
    <row r="214" spans="1:8" ht="21" x14ac:dyDescent="0.35">
      <c r="A214" s="58"/>
      <c r="B214" s="27" t="s">
        <v>84</v>
      </c>
      <c r="C214" s="27" t="s">
        <v>90</v>
      </c>
      <c r="E214" t="s">
        <v>89</v>
      </c>
      <c r="F214" t="str">
        <f t="shared" si="0"/>
        <v xml:space="preserve">     Entre 100 y 500 SMLMV </v>
      </c>
    </row>
    <row r="215" spans="1:8" ht="21" x14ac:dyDescent="0.35">
      <c r="A215" s="58"/>
      <c r="B215" s="27" t="s">
        <v>51</v>
      </c>
      <c r="C215" s="27" t="s">
        <v>91</v>
      </c>
      <c r="E215" t="s">
        <v>90</v>
      </c>
      <c r="F215" t="str">
        <f t="shared" si="0"/>
        <v xml:space="preserve">     Mayor a 500 SMLMV </v>
      </c>
    </row>
    <row r="216" spans="1:8" ht="21" x14ac:dyDescent="0.35">
      <c r="A216" s="58"/>
      <c r="B216" s="27" t="s">
        <v>51</v>
      </c>
      <c r="C216" s="27" t="s">
        <v>92</v>
      </c>
      <c r="D216" t="s">
        <v>51</v>
      </c>
      <c r="F216" t="str">
        <f t="shared" si="0"/>
        <v>Pérdida Reputacional</v>
      </c>
    </row>
    <row r="217" spans="1:8" ht="21" x14ac:dyDescent="0.35">
      <c r="A217" s="58"/>
      <c r="B217" s="27" t="s">
        <v>51</v>
      </c>
      <c r="C217" s="27" t="s">
        <v>94</v>
      </c>
      <c r="E217" t="s">
        <v>91</v>
      </c>
      <c r="F217" t="str">
        <f t="shared" si="0"/>
        <v xml:space="preserve">     El riesgo afecta la imagen de alguna área de la organización</v>
      </c>
    </row>
    <row r="218" spans="1:8" ht="21" x14ac:dyDescent="0.35">
      <c r="A218" s="58"/>
      <c r="B218" s="27" t="s">
        <v>51</v>
      </c>
      <c r="C218" s="27" t="s">
        <v>93</v>
      </c>
      <c r="E218" t="s">
        <v>92</v>
      </c>
      <c r="F218" t="str">
        <f t="shared" si="0"/>
        <v xml:space="preserve">     El riesgo afecta la imagen de la entidad internamente, de conocimiento general, nivel interno, de junta dircetiva y accionistas y/o de provedores</v>
      </c>
    </row>
    <row r="219" spans="1:8" ht="21" x14ac:dyDescent="0.35">
      <c r="A219" s="58"/>
      <c r="B219" s="27" t="s">
        <v>51</v>
      </c>
      <c r="C219" s="27" t="s">
        <v>112</v>
      </c>
      <c r="E219" t="s">
        <v>94</v>
      </c>
      <c r="F219" t="str">
        <f t="shared" si="0"/>
        <v xml:space="preserve">     El riesgo afecta la imagen de la entidad con algunos usuarios de relevancia frente al logro de los objetivos</v>
      </c>
    </row>
    <row r="220" spans="1:8" x14ac:dyDescent="0.25">
      <c r="A220" s="58"/>
      <c r="B220" s="28"/>
      <c r="C220" s="28"/>
      <c r="E220" t="s">
        <v>93</v>
      </c>
      <c r="F220" t="str">
        <f t="shared" si="0"/>
        <v xml:space="preserve">     El riesgo afecta la imagen de de la entidad con efecto publicitario sostenido a nivel de sector administrativo, nivel departamental o municipal</v>
      </c>
    </row>
    <row r="221" spans="1:8" x14ac:dyDescent="0.25">
      <c r="A221" s="58"/>
      <c r="B221" s="28" t="str" cm="1">
        <f t="array" ref="B221:B223">_xlfn.UNIQUE(Tabla1[[#All],[Criterios]])</f>
        <v>Criterios</v>
      </c>
      <c r="C221" s="28"/>
      <c r="E221" t="s">
        <v>112</v>
      </c>
      <c r="F221" t="str">
        <f t="shared" si="0"/>
        <v xml:space="preserve">     El riesgo afecta la imagen de la entidad a nivel nacional, con efecto publicitarios sostenible a nivel país</v>
      </c>
    </row>
    <row r="222" spans="1:8" x14ac:dyDescent="0.25">
      <c r="A222" s="58"/>
      <c r="B222" s="28" t="str">
        <v>Afectación Económica o presupuestal</v>
      </c>
      <c r="C222" s="28"/>
    </row>
    <row r="223" spans="1:8" x14ac:dyDescent="0.25">
      <c r="B223" s="28" t="str">
        <v>Pérdida Reputacional</v>
      </c>
      <c r="C223" s="28"/>
      <c r="F223" s="31" t="s">
        <v>138</v>
      </c>
    </row>
    <row r="224" spans="1:8" x14ac:dyDescent="0.25">
      <c r="B224" s="19"/>
      <c r="C224" s="19"/>
      <c r="F224" s="31" t="s">
        <v>139</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topLeftCell="A4" workbookViewId="0">
      <selection activeCell="A3" sqref="A3"/>
    </sheetView>
  </sheetViews>
  <sheetFormatPr baseColWidth="10" defaultColWidth="14.28515625" defaultRowHeight="12.75" x14ac:dyDescent="0.2"/>
  <cols>
    <col min="1" max="2" width="14.28515625" style="63"/>
    <col min="3" max="3" width="17" style="63" customWidth="1"/>
    <col min="4" max="4" width="14.28515625" style="63"/>
    <col min="5" max="5" width="46" style="63" customWidth="1"/>
    <col min="6" max="16384" width="14.28515625" style="63"/>
  </cols>
  <sheetData>
    <row r="1" spans="2:6" ht="24" customHeight="1" thickBot="1" x14ac:dyDescent="0.25">
      <c r="B1" s="414" t="s">
        <v>72</v>
      </c>
      <c r="C1" s="415"/>
      <c r="D1" s="415"/>
      <c r="E1" s="415"/>
      <c r="F1" s="416"/>
    </row>
    <row r="2" spans="2:6" ht="16.5" thickBot="1" x14ac:dyDescent="0.3">
      <c r="B2" s="64"/>
      <c r="C2" s="64"/>
      <c r="D2" s="64"/>
      <c r="E2" s="64"/>
      <c r="F2" s="64"/>
    </row>
    <row r="3" spans="2:6" ht="16.5" thickBot="1" x14ac:dyDescent="0.25">
      <c r="B3" s="418" t="s">
        <v>58</v>
      </c>
      <c r="C3" s="419"/>
      <c r="D3" s="419"/>
      <c r="E3" s="76" t="s">
        <v>59</v>
      </c>
      <c r="F3" s="77" t="s">
        <v>60</v>
      </c>
    </row>
    <row r="4" spans="2:6" ht="31.5" x14ac:dyDescent="0.2">
      <c r="B4" s="420" t="s">
        <v>61</v>
      </c>
      <c r="C4" s="422" t="s">
        <v>13</v>
      </c>
      <c r="D4" s="65" t="s">
        <v>14</v>
      </c>
      <c r="E4" s="66" t="s">
        <v>62</v>
      </c>
      <c r="F4" s="67">
        <v>0.25</v>
      </c>
    </row>
    <row r="5" spans="2:6" ht="47.25" x14ac:dyDescent="0.2">
      <c r="B5" s="421"/>
      <c r="C5" s="423"/>
      <c r="D5" s="68" t="s">
        <v>15</v>
      </c>
      <c r="E5" s="69" t="s">
        <v>63</v>
      </c>
      <c r="F5" s="70">
        <v>0.15</v>
      </c>
    </row>
    <row r="6" spans="2:6" ht="47.25" x14ac:dyDescent="0.2">
      <c r="B6" s="421"/>
      <c r="C6" s="423"/>
      <c r="D6" s="68" t="s">
        <v>16</v>
      </c>
      <c r="E6" s="69" t="s">
        <v>64</v>
      </c>
      <c r="F6" s="70">
        <v>0.1</v>
      </c>
    </row>
    <row r="7" spans="2:6" ht="63" x14ac:dyDescent="0.2">
      <c r="B7" s="421"/>
      <c r="C7" s="423" t="s">
        <v>17</v>
      </c>
      <c r="D7" s="68" t="s">
        <v>10</v>
      </c>
      <c r="E7" s="69" t="s">
        <v>65</v>
      </c>
      <c r="F7" s="70">
        <v>0.25</v>
      </c>
    </row>
    <row r="8" spans="2:6" ht="31.5" x14ac:dyDescent="0.2">
      <c r="B8" s="421"/>
      <c r="C8" s="423"/>
      <c r="D8" s="68" t="s">
        <v>9</v>
      </c>
      <c r="E8" s="69" t="s">
        <v>66</v>
      </c>
      <c r="F8" s="70">
        <v>0.15</v>
      </c>
    </row>
    <row r="9" spans="2:6" ht="47.25" x14ac:dyDescent="0.2">
      <c r="B9" s="421" t="s">
        <v>153</v>
      </c>
      <c r="C9" s="423" t="s">
        <v>18</v>
      </c>
      <c r="D9" s="68" t="s">
        <v>19</v>
      </c>
      <c r="E9" s="69" t="s">
        <v>67</v>
      </c>
      <c r="F9" s="71" t="s">
        <v>68</v>
      </c>
    </row>
    <row r="10" spans="2:6" ht="63" x14ac:dyDescent="0.2">
      <c r="B10" s="421"/>
      <c r="C10" s="423"/>
      <c r="D10" s="68" t="s">
        <v>20</v>
      </c>
      <c r="E10" s="69" t="s">
        <v>69</v>
      </c>
      <c r="F10" s="71" t="s">
        <v>68</v>
      </c>
    </row>
    <row r="11" spans="2:6" ht="47.25" x14ac:dyDescent="0.2">
      <c r="B11" s="421"/>
      <c r="C11" s="423" t="s">
        <v>21</v>
      </c>
      <c r="D11" s="68" t="s">
        <v>22</v>
      </c>
      <c r="E11" s="69" t="s">
        <v>70</v>
      </c>
      <c r="F11" s="71" t="s">
        <v>68</v>
      </c>
    </row>
    <row r="12" spans="2:6" ht="47.25" x14ac:dyDescent="0.2">
      <c r="B12" s="421"/>
      <c r="C12" s="423"/>
      <c r="D12" s="68" t="s">
        <v>23</v>
      </c>
      <c r="E12" s="69" t="s">
        <v>71</v>
      </c>
      <c r="F12" s="71" t="s">
        <v>68</v>
      </c>
    </row>
    <row r="13" spans="2:6" ht="31.5" x14ac:dyDescent="0.2">
      <c r="B13" s="421"/>
      <c r="C13" s="423" t="s">
        <v>24</v>
      </c>
      <c r="D13" s="68" t="s">
        <v>113</v>
      </c>
      <c r="E13" s="69" t="s">
        <v>116</v>
      </c>
      <c r="F13" s="71" t="s">
        <v>68</v>
      </c>
    </row>
    <row r="14" spans="2:6" ht="32.25" thickBot="1" x14ac:dyDescent="0.25">
      <c r="B14" s="424"/>
      <c r="C14" s="425"/>
      <c r="D14" s="72" t="s">
        <v>114</v>
      </c>
      <c r="E14" s="73" t="s">
        <v>115</v>
      </c>
      <c r="F14" s="74" t="s">
        <v>68</v>
      </c>
    </row>
    <row r="15" spans="2:6" ht="49.5" customHeight="1" x14ac:dyDescent="0.2">
      <c r="B15" s="417" t="s">
        <v>150</v>
      </c>
      <c r="C15" s="417"/>
      <c r="D15" s="417"/>
      <c r="E15" s="417"/>
      <c r="F15" s="417"/>
    </row>
    <row r="16" spans="2:6" ht="27" customHeight="1" x14ac:dyDescent="0.25">
      <c r="B16" s="75"/>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RowHeight="15" x14ac:dyDescent="0.25"/>
  <sheetData>
    <row r="2" spans="2:5" x14ac:dyDescent="0.25">
      <c r="B2" t="s">
        <v>31</v>
      </c>
      <c r="E2" t="s">
        <v>126</v>
      </c>
    </row>
    <row r="3" spans="2:5" x14ac:dyDescent="0.25">
      <c r="B3" t="s">
        <v>32</v>
      </c>
      <c r="E3" t="s">
        <v>125</v>
      </c>
    </row>
    <row r="4" spans="2:5" x14ac:dyDescent="0.25">
      <c r="B4" t="s">
        <v>130</v>
      </c>
      <c r="E4" t="s">
        <v>127</v>
      </c>
    </row>
    <row r="5" spans="2:5" x14ac:dyDescent="0.25">
      <c r="B5" t="s">
        <v>129</v>
      </c>
    </row>
    <row r="8" spans="2:5" x14ac:dyDescent="0.25">
      <c r="B8" t="s">
        <v>80</v>
      </c>
    </row>
    <row r="9" spans="2:5" x14ac:dyDescent="0.25">
      <c r="B9" t="s">
        <v>36</v>
      </c>
    </row>
    <row r="10" spans="2:5" x14ac:dyDescent="0.25">
      <c r="B10" t="s">
        <v>37</v>
      </c>
    </row>
    <row r="13" spans="2:5" x14ac:dyDescent="0.25">
      <c r="B13" t="s">
        <v>123</v>
      </c>
    </row>
    <row r="14" spans="2:5" x14ac:dyDescent="0.25">
      <c r="B14" t="s">
        <v>117</v>
      </c>
    </row>
    <row r="15" spans="2:5" x14ac:dyDescent="0.25">
      <c r="B15" t="s">
        <v>120</v>
      </c>
    </row>
    <row r="16" spans="2:5" x14ac:dyDescent="0.25">
      <c r="B16" t="s">
        <v>118</v>
      </c>
    </row>
    <row r="17" spans="2:2" x14ac:dyDescent="0.25">
      <c r="B17" t="s">
        <v>119</v>
      </c>
    </row>
    <row r="18" spans="2:2" x14ac:dyDescent="0.25">
      <c r="B18" t="s">
        <v>121</v>
      </c>
    </row>
    <row r="19" spans="2:2" x14ac:dyDescent="0.25">
      <c r="B19" t="s">
        <v>122</v>
      </c>
    </row>
  </sheetData>
  <sortState xmlns:xlrd2="http://schemas.microsoft.com/office/spreadsheetml/2017/richdata2"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RowHeight="12.75" x14ac:dyDescent="0.2"/>
  <cols>
    <col min="1" max="1" width="32.85546875" style="6" customWidth="1"/>
    <col min="2" max="16384" width="11.42578125" style="6"/>
  </cols>
  <sheetData>
    <row r="3" spans="1:1" x14ac:dyDescent="0.2">
      <c r="A3" s="7" t="s">
        <v>14</v>
      </c>
    </row>
    <row r="4" spans="1:1" x14ac:dyDescent="0.2">
      <c r="A4" s="7" t="s">
        <v>15</v>
      </c>
    </row>
    <row r="5" spans="1:1" x14ac:dyDescent="0.2">
      <c r="A5" s="7" t="s">
        <v>16</v>
      </c>
    </row>
    <row r="6" spans="1:1" x14ac:dyDescent="0.2">
      <c r="A6" s="7" t="s">
        <v>10</v>
      </c>
    </row>
    <row r="7" spans="1:1" x14ac:dyDescent="0.2">
      <c r="A7" s="7" t="s">
        <v>9</v>
      </c>
    </row>
    <row r="8" spans="1:1" x14ac:dyDescent="0.2">
      <c r="A8" s="7" t="s">
        <v>19</v>
      </c>
    </row>
    <row r="9" spans="1:1" x14ac:dyDescent="0.2">
      <c r="A9" s="7" t="s">
        <v>20</v>
      </c>
    </row>
    <row r="10" spans="1:1" x14ac:dyDescent="0.2">
      <c r="A10" s="7" t="s">
        <v>22</v>
      </c>
    </row>
    <row r="11" spans="1:1" x14ac:dyDescent="0.2">
      <c r="A11" s="7" t="s">
        <v>23</v>
      </c>
    </row>
    <row r="12" spans="1:1" x14ac:dyDescent="0.2">
      <c r="A12" s="7" t="s">
        <v>25</v>
      </c>
    </row>
    <row r="13" spans="1:1" x14ac:dyDescent="0.2">
      <c r="A13" s="7" t="s">
        <v>26</v>
      </c>
    </row>
    <row r="14" spans="1:1" x14ac:dyDescent="0.2">
      <c r="A14" s="7" t="s">
        <v>27</v>
      </c>
    </row>
    <row r="16" spans="1:1" x14ac:dyDescent="0.2">
      <c r="A16" s="7" t="s">
        <v>30</v>
      </c>
    </row>
    <row r="17" spans="1:1" x14ac:dyDescent="0.2">
      <c r="A17" s="7" t="s">
        <v>31</v>
      </c>
    </row>
    <row r="18" spans="1:1" x14ac:dyDescent="0.2">
      <c r="A18" s="7" t="s">
        <v>32</v>
      </c>
    </row>
    <row r="20" spans="1:1" x14ac:dyDescent="0.2">
      <c r="A20" s="7" t="s">
        <v>36</v>
      </c>
    </row>
    <row r="21" spans="1:1" x14ac:dyDescent="0.2">
      <c r="A21" s="7"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SPAP</cp:lastModifiedBy>
  <cp:lastPrinted>2021-10-13T03:54:14Z</cp:lastPrinted>
  <dcterms:created xsi:type="dcterms:W3CDTF">2020-03-24T23:12:47Z</dcterms:created>
  <dcterms:modified xsi:type="dcterms:W3CDTF">2021-10-22T13:41:22Z</dcterms:modified>
</cp:coreProperties>
</file>