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C:\Users\jsantisj\Documents\SEGUIMIENTO MAPA DE RIESGOS INSTITUCIONAL CORTE SEPTIEMBRE – DICIEMBRE DE 2022\"/>
    </mc:Choice>
  </mc:AlternateContent>
  <bookViews>
    <workbookView xWindow="0" yWindow="0" windowWidth="28800" windowHeight="11700" tabRatio="882" activeTab="2"/>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s>
  <definedNames>
    <definedName name="_xlnm._FilterDatabase" localSheetId="2" hidden="1">'Mapa final'!$A$6:$CO$153</definedName>
  </definedNames>
  <calcPr calcId="191029" iterate="1"/>
  <pivotCaches>
    <pivotCache cacheId="0" r:id="rId11"/>
  </pivotCaches>
</workbook>
</file>

<file path=xl/calcChain.xml><?xml version="1.0" encoding="utf-8"?>
<calcChain xmlns="http://schemas.openxmlformats.org/spreadsheetml/2006/main">
  <c r="AO154" i="1" l="1"/>
  <c r="AR154" i="1" l="1"/>
  <c r="T142" i="1" l="1"/>
  <c r="T139" i="1"/>
  <c r="K70" i="1" l="1"/>
  <c r="L70" i="1" s="1"/>
  <c r="W70" i="1"/>
  <c r="T70" i="1"/>
  <c r="AA70" i="1" l="1"/>
  <c r="X245" i="19"/>
  <c r="X238" i="19"/>
  <c r="W238" i="19"/>
  <c r="X237" i="19"/>
  <c r="X236" i="19"/>
  <c r="X232" i="19"/>
  <c r="W232" i="19"/>
  <c r="W227" i="19"/>
  <c r="X226" i="19"/>
  <c r="X218" i="19"/>
  <c r="W218" i="19"/>
  <c r="X209" i="19"/>
  <c r="W209" i="19"/>
  <c r="X195" i="19"/>
  <c r="X188" i="19"/>
  <c r="W188" i="19"/>
  <c r="X187" i="19"/>
  <c r="X186" i="19"/>
  <c r="X182" i="19"/>
  <c r="W182" i="19"/>
  <c r="W177" i="19"/>
  <c r="X176" i="19"/>
  <c r="X168" i="19"/>
  <c r="W168" i="19"/>
  <c r="X159" i="19"/>
  <c r="W159" i="19"/>
  <c r="X145" i="19"/>
  <c r="X138" i="19"/>
  <c r="W138" i="19"/>
  <c r="X137" i="19"/>
  <c r="X136" i="19"/>
  <c r="X132" i="19"/>
  <c r="W132" i="19"/>
  <c r="W127" i="19"/>
  <c r="X126" i="19"/>
  <c r="X118" i="19"/>
  <c r="W118" i="19"/>
  <c r="X109" i="19"/>
  <c r="W109" i="19"/>
  <c r="X95" i="19"/>
  <c r="X88" i="19"/>
  <c r="W88" i="19"/>
  <c r="X87" i="19"/>
  <c r="X86" i="19"/>
  <c r="X82" i="19"/>
  <c r="W82" i="19"/>
  <c r="W77" i="19"/>
  <c r="X76" i="19"/>
  <c r="X68" i="19"/>
  <c r="W68" i="19"/>
  <c r="X59" i="19"/>
  <c r="W59" i="19"/>
  <c r="X45" i="19"/>
  <c r="X38" i="19"/>
  <c r="W38" i="19"/>
  <c r="X37" i="19"/>
  <c r="X36" i="19"/>
  <c r="X32" i="19"/>
  <c r="W32" i="19"/>
  <c r="W27" i="19"/>
  <c r="X26" i="19"/>
  <c r="X18" i="19"/>
  <c r="W18" i="19"/>
  <c r="X9" i="19"/>
  <c r="W9" i="19"/>
  <c r="U245" i="19"/>
  <c r="U238" i="19"/>
  <c r="T238" i="19"/>
  <c r="U237" i="19"/>
  <c r="U236" i="19"/>
  <c r="U232" i="19"/>
  <c r="T232" i="19"/>
  <c r="T227" i="19"/>
  <c r="U226" i="19"/>
  <c r="U218" i="19"/>
  <c r="T218" i="19"/>
  <c r="U209" i="19"/>
  <c r="T209" i="19"/>
  <c r="U195" i="19"/>
  <c r="U188" i="19"/>
  <c r="T188" i="19"/>
  <c r="U187" i="19"/>
  <c r="U186" i="19"/>
  <c r="U182" i="19"/>
  <c r="T182" i="19"/>
  <c r="T177" i="19"/>
  <c r="U176" i="19"/>
  <c r="U168" i="19"/>
  <c r="T168" i="19"/>
  <c r="U159" i="19"/>
  <c r="T159" i="19"/>
  <c r="U145" i="19"/>
  <c r="U138" i="19"/>
  <c r="T138" i="19"/>
  <c r="U137" i="19"/>
  <c r="U136" i="19"/>
  <c r="U132" i="19"/>
  <c r="T132" i="19"/>
  <c r="T127" i="19"/>
  <c r="U126" i="19"/>
  <c r="U118" i="19"/>
  <c r="T118" i="19"/>
  <c r="U109" i="19"/>
  <c r="T109" i="19"/>
  <c r="U95" i="19"/>
  <c r="U88" i="19"/>
  <c r="T88" i="19"/>
  <c r="U87" i="19"/>
  <c r="U86" i="19"/>
  <c r="U82" i="19"/>
  <c r="T82" i="19"/>
  <c r="T77" i="19"/>
  <c r="U76" i="19"/>
  <c r="U68" i="19"/>
  <c r="T68" i="19"/>
  <c r="U59" i="19"/>
  <c r="T59" i="19"/>
  <c r="U45" i="19"/>
  <c r="U38" i="19"/>
  <c r="T38" i="19"/>
  <c r="U37" i="19"/>
  <c r="U36" i="19"/>
  <c r="U32" i="19"/>
  <c r="T32" i="19"/>
  <c r="T27" i="19"/>
  <c r="U26" i="19"/>
  <c r="U18" i="19"/>
  <c r="T18" i="19"/>
  <c r="U9" i="19"/>
  <c r="T9" i="19"/>
  <c r="R245" i="19"/>
  <c r="R238" i="19"/>
  <c r="Q238" i="19"/>
  <c r="R237" i="19"/>
  <c r="R236" i="19"/>
  <c r="R232" i="19"/>
  <c r="Q232" i="19"/>
  <c r="Q227" i="19"/>
  <c r="R226" i="19"/>
  <c r="R218" i="19"/>
  <c r="Q218" i="19"/>
  <c r="R209" i="19"/>
  <c r="Q209" i="19"/>
  <c r="R195" i="19"/>
  <c r="R188" i="19"/>
  <c r="Q188" i="19"/>
  <c r="R187" i="19"/>
  <c r="R186" i="19"/>
  <c r="R182" i="19"/>
  <c r="Q182" i="19"/>
  <c r="Q177" i="19"/>
  <c r="R176" i="19"/>
  <c r="R168" i="19"/>
  <c r="Q168" i="19"/>
  <c r="R159" i="19"/>
  <c r="Q159" i="19"/>
  <c r="R145" i="19"/>
  <c r="R138" i="19"/>
  <c r="Q138" i="19"/>
  <c r="R137" i="19"/>
  <c r="R136" i="19"/>
  <c r="R132" i="19"/>
  <c r="Q132" i="19"/>
  <c r="Q127" i="19"/>
  <c r="R126" i="19"/>
  <c r="R118" i="19"/>
  <c r="Q118" i="19"/>
  <c r="R109" i="19"/>
  <c r="Q109" i="19"/>
  <c r="R95" i="19"/>
  <c r="R88" i="19"/>
  <c r="Q88" i="19"/>
  <c r="R87" i="19"/>
  <c r="R86" i="19"/>
  <c r="R82" i="19"/>
  <c r="Q82" i="19"/>
  <c r="Q77" i="19"/>
  <c r="R76" i="19"/>
  <c r="R68" i="19"/>
  <c r="Q68" i="19"/>
  <c r="R59" i="19"/>
  <c r="Q59" i="19"/>
  <c r="R45" i="19"/>
  <c r="R38" i="19"/>
  <c r="Q38" i="19"/>
  <c r="R37" i="19"/>
  <c r="R36" i="19"/>
  <c r="R32" i="19"/>
  <c r="Q32" i="19"/>
  <c r="Q27" i="19"/>
  <c r="R26" i="19"/>
  <c r="R18" i="19"/>
  <c r="Q18" i="19"/>
  <c r="R9" i="19"/>
  <c r="Q9" i="19"/>
  <c r="O245" i="19"/>
  <c r="O238" i="19"/>
  <c r="N238" i="19"/>
  <c r="O237" i="19"/>
  <c r="O236" i="19"/>
  <c r="O232" i="19"/>
  <c r="N232" i="19"/>
  <c r="N227" i="19"/>
  <c r="O226" i="19"/>
  <c r="O218" i="19"/>
  <c r="N218" i="19"/>
  <c r="O209" i="19"/>
  <c r="N209" i="19"/>
  <c r="O195" i="19"/>
  <c r="O188" i="19"/>
  <c r="N188" i="19"/>
  <c r="O187" i="19"/>
  <c r="O186" i="19"/>
  <c r="O182" i="19"/>
  <c r="N182" i="19"/>
  <c r="N177" i="19"/>
  <c r="O176" i="19"/>
  <c r="O168" i="19"/>
  <c r="N168" i="19"/>
  <c r="O159" i="19"/>
  <c r="N159" i="19"/>
  <c r="O145" i="19"/>
  <c r="O138" i="19"/>
  <c r="N138" i="19"/>
  <c r="O137" i="19"/>
  <c r="O136" i="19"/>
  <c r="O132" i="19"/>
  <c r="N132" i="19"/>
  <c r="N127" i="19"/>
  <c r="O126" i="19"/>
  <c r="O118" i="19"/>
  <c r="N118" i="19"/>
  <c r="O109" i="19"/>
  <c r="N109" i="19"/>
  <c r="O95" i="19"/>
  <c r="O88" i="19"/>
  <c r="N88" i="19"/>
  <c r="O87" i="19"/>
  <c r="O86" i="19"/>
  <c r="O82" i="19"/>
  <c r="N82" i="19"/>
  <c r="N77" i="19"/>
  <c r="O76" i="19"/>
  <c r="O68" i="19"/>
  <c r="N68" i="19"/>
  <c r="O59" i="19"/>
  <c r="N59" i="19"/>
  <c r="O45" i="19"/>
  <c r="O38" i="19"/>
  <c r="N38" i="19"/>
  <c r="O37" i="19"/>
  <c r="O36" i="19"/>
  <c r="O32" i="19"/>
  <c r="N32" i="19"/>
  <c r="N27" i="19"/>
  <c r="O26" i="19"/>
  <c r="O18" i="19"/>
  <c r="N18" i="19"/>
  <c r="O9" i="19"/>
  <c r="N9" i="19"/>
  <c r="L95" i="19"/>
  <c r="L88" i="19"/>
  <c r="K88" i="19"/>
  <c r="L87" i="19"/>
  <c r="L86" i="19"/>
  <c r="L82" i="19"/>
  <c r="K82" i="19"/>
  <c r="K77" i="19"/>
  <c r="L76" i="19"/>
  <c r="L68" i="19"/>
  <c r="K68" i="19"/>
  <c r="L59" i="19"/>
  <c r="K59" i="19"/>
  <c r="L145" i="19"/>
  <c r="L138" i="19"/>
  <c r="K138" i="19"/>
  <c r="L137" i="19"/>
  <c r="L136" i="19"/>
  <c r="L132" i="19"/>
  <c r="K132" i="19"/>
  <c r="K127" i="19"/>
  <c r="L126" i="19"/>
  <c r="L118" i="19"/>
  <c r="K118" i="19"/>
  <c r="L109" i="19"/>
  <c r="K109" i="19"/>
  <c r="L195" i="19"/>
  <c r="L188" i="19"/>
  <c r="K188" i="19"/>
  <c r="L187" i="19"/>
  <c r="L186" i="19"/>
  <c r="L182" i="19"/>
  <c r="K182" i="19"/>
  <c r="K177" i="19"/>
  <c r="L176" i="19"/>
  <c r="L168" i="19"/>
  <c r="K168" i="19"/>
  <c r="L159" i="19"/>
  <c r="K159" i="19"/>
  <c r="L245" i="19"/>
  <c r="L238" i="19"/>
  <c r="K238" i="19"/>
  <c r="L237" i="19"/>
  <c r="L236" i="19"/>
  <c r="L232" i="19"/>
  <c r="K232" i="19"/>
  <c r="K227" i="19"/>
  <c r="L226" i="19"/>
  <c r="L218" i="19"/>
  <c r="K218" i="19"/>
  <c r="L209" i="19"/>
  <c r="K209" i="19"/>
  <c r="L45" i="19"/>
  <c r="L38" i="19"/>
  <c r="K38" i="19"/>
  <c r="L37" i="19"/>
  <c r="K139" i="1"/>
  <c r="W139" i="1"/>
  <c r="T140" i="1"/>
  <c r="AA140" i="1" s="1"/>
  <c r="W140" i="1"/>
  <c r="T141" i="1"/>
  <c r="AA141" i="1" s="1"/>
  <c r="W141" i="1"/>
  <c r="K142" i="1"/>
  <c r="W142" i="1"/>
  <c r="T143" i="1"/>
  <c r="AA143" i="1" s="1"/>
  <c r="W143" i="1"/>
  <c r="T144" i="1"/>
  <c r="AA144" i="1" s="1"/>
  <c r="AC144" i="1" s="1"/>
  <c r="W144" i="1"/>
  <c r="K145" i="1"/>
  <c r="T145" i="1"/>
  <c r="AA145" i="1" s="1"/>
  <c r="W145" i="1"/>
  <c r="T146" i="1"/>
  <c r="AA146" i="1" s="1"/>
  <c r="W146" i="1"/>
  <c r="T147" i="1"/>
  <c r="AA147" i="1" s="1"/>
  <c r="W147" i="1"/>
  <c r="K148" i="1"/>
  <c r="L148" i="1" s="1"/>
  <c r="T148" i="1"/>
  <c r="AE148" i="1" s="1"/>
  <c r="AD148" i="1" s="1"/>
  <c r="W148" i="1"/>
  <c r="T149" i="1"/>
  <c r="AA149" i="1" s="1"/>
  <c r="W149" i="1"/>
  <c r="T150" i="1"/>
  <c r="AA150" i="1" s="1"/>
  <c r="W150" i="1"/>
  <c r="K151" i="1"/>
  <c r="T151" i="1"/>
  <c r="AA151" i="1" s="1"/>
  <c r="W151" i="1"/>
  <c r="T152" i="1"/>
  <c r="AA152" i="1" s="1"/>
  <c r="W152" i="1"/>
  <c r="T153" i="1"/>
  <c r="AA153" i="1" s="1"/>
  <c r="W153" i="1"/>
  <c r="W100" i="1"/>
  <c r="T100" i="1"/>
  <c r="N100" i="1"/>
  <c r="O100" i="1" s="1"/>
  <c r="P100" i="1" s="1"/>
  <c r="K100" i="1"/>
  <c r="AE149" i="1" l="1"/>
  <c r="AD149" i="1" s="1"/>
  <c r="AA148" i="1"/>
  <c r="AC148" i="1" s="1"/>
  <c r="AE144" i="1"/>
  <c r="AD144" i="1" s="1"/>
  <c r="AB144" i="1"/>
  <c r="AE143" i="1"/>
  <c r="AD143" i="1" s="1"/>
  <c r="AC70" i="1"/>
  <c r="AB70" i="1"/>
  <c r="AC149" i="1"/>
  <c r="AB149" i="1"/>
  <c r="AC143" i="1"/>
  <c r="AB143" i="1"/>
  <c r="AC150" i="1"/>
  <c r="AB150" i="1"/>
  <c r="L139" i="1"/>
  <c r="AA139" i="1" s="1"/>
  <c r="AE150" i="1"/>
  <c r="AD150" i="1" s="1"/>
  <c r="L145" i="1"/>
  <c r="L151" i="1"/>
  <c r="L142" i="1"/>
  <c r="AA142" i="1" s="1"/>
  <c r="BB78" i="18"/>
  <c r="N38" i="18"/>
  <c r="N78" i="18"/>
  <c r="X98" i="18"/>
  <c r="AH78" i="18"/>
  <c r="X38" i="18"/>
  <c r="AH58" i="18"/>
  <c r="AH98" i="18"/>
  <c r="AR78" i="18"/>
  <c r="BB98" i="18"/>
  <c r="X18" i="18"/>
  <c r="X58" i="18"/>
  <c r="AH38" i="18"/>
  <c r="AR18" i="18"/>
  <c r="AR58" i="18"/>
  <c r="AR98" i="18"/>
  <c r="BB38" i="18"/>
  <c r="N18" i="18"/>
  <c r="N58" i="18"/>
  <c r="N98" i="18"/>
  <c r="X78" i="18"/>
  <c r="AH18" i="18"/>
  <c r="AR38" i="18"/>
  <c r="BB18" i="18"/>
  <c r="BB58" i="18"/>
  <c r="AB152" i="1"/>
  <c r="AC152" i="1"/>
  <c r="AB141" i="1"/>
  <c r="AC141" i="1"/>
  <c r="AB147" i="1"/>
  <c r="AC147" i="1"/>
  <c r="AB145" i="1"/>
  <c r="AC145" i="1"/>
  <c r="AB153" i="1"/>
  <c r="AC153" i="1"/>
  <c r="AB151" i="1"/>
  <c r="AC151" i="1"/>
  <c r="AB140" i="1"/>
  <c r="AC140" i="1"/>
  <c r="AB146" i="1"/>
  <c r="AC146" i="1"/>
  <c r="AE153" i="1"/>
  <c r="AD153" i="1" s="1"/>
  <c r="AE152" i="1"/>
  <c r="AD152" i="1" s="1"/>
  <c r="AE151" i="1"/>
  <c r="AD151" i="1" s="1"/>
  <c r="AE147" i="1"/>
  <c r="AD147" i="1" s="1"/>
  <c r="AE146" i="1"/>
  <c r="AD146" i="1" s="1"/>
  <c r="AE145" i="1"/>
  <c r="AD145" i="1" s="1"/>
  <c r="AE141" i="1"/>
  <c r="AD141" i="1" s="1"/>
  <c r="AE140" i="1"/>
  <c r="AD140" i="1" s="1"/>
  <c r="Q100" i="1"/>
  <c r="AE100" i="1"/>
  <c r="AD100" i="1" s="1"/>
  <c r="L100" i="1"/>
  <c r="AA100" i="1" s="1"/>
  <c r="AB142" i="1" l="1"/>
  <c r="AC142" i="1"/>
  <c r="AB139" i="1"/>
  <c r="AC139" i="1"/>
  <c r="X52" i="19"/>
  <c r="R52" i="19"/>
  <c r="O52" i="19"/>
  <c r="AB148" i="1"/>
  <c r="S254" i="19" s="1"/>
  <c r="R102" i="19"/>
  <c r="U52" i="19"/>
  <c r="AF144" i="1"/>
  <c r="O152" i="19"/>
  <c r="L202" i="19"/>
  <c r="L252" i="19"/>
  <c r="L102" i="19"/>
  <c r="X102" i="19"/>
  <c r="O252" i="19"/>
  <c r="L52" i="19"/>
  <c r="L152" i="19"/>
  <c r="O102" i="19"/>
  <c r="X152" i="19"/>
  <c r="O202" i="19"/>
  <c r="R252" i="19"/>
  <c r="R152" i="19"/>
  <c r="U252" i="19"/>
  <c r="U102" i="19"/>
  <c r="X202" i="19"/>
  <c r="R202" i="19"/>
  <c r="X252" i="19"/>
  <c r="U152" i="19"/>
  <c r="U202" i="19"/>
  <c r="AF150" i="1"/>
  <c r="X254" i="19"/>
  <c r="X54" i="19"/>
  <c r="X204" i="19"/>
  <c r="U254" i="19"/>
  <c r="X154" i="19"/>
  <c r="U204" i="19"/>
  <c r="X104" i="19"/>
  <c r="U154" i="19"/>
  <c r="U104" i="19"/>
  <c r="R154" i="19"/>
  <c r="O204" i="19"/>
  <c r="U54" i="19"/>
  <c r="R104" i="19"/>
  <c r="O154" i="19"/>
  <c r="R204" i="19"/>
  <c r="O254" i="19"/>
  <c r="L204" i="19"/>
  <c r="L54" i="19"/>
  <c r="O54" i="19"/>
  <c r="L254" i="19"/>
  <c r="R54" i="19"/>
  <c r="L104" i="19"/>
  <c r="R254" i="19"/>
  <c r="O104" i="19"/>
  <c r="L154" i="19"/>
  <c r="AF146" i="1"/>
  <c r="W253" i="19"/>
  <c r="W53" i="19"/>
  <c r="W203" i="19"/>
  <c r="T253" i="19"/>
  <c r="W153" i="19"/>
  <c r="T203" i="19"/>
  <c r="W103" i="19"/>
  <c r="T103" i="19"/>
  <c r="Q153" i="19"/>
  <c r="N203" i="19"/>
  <c r="T53" i="19"/>
  <c r="Q103" i="19"/>
  <c r="N153" i="19"/>
  <c r="Q253" i="19"/>
  <c r="Q53" i="19"/>
  <c r="N103" i="19"/>
  <c r="K203" i="19"/>
  <c r="N53" i="19"/>
  <c r="K253" i="19"/>
  <c r="T153" i="19"/>
  <c r="N253" i="19"/>
  <c r="K153" i="19"/>
  <c r="Q203" i="19"/>
  <c r="K103" i="19"/>
  <c r="K53" i="19"/>
  <c r="V205" i="19"/>
  <c r="S255" i="19"/>
  <c r="V155" i="19"/>
  <c r="S205" i="19"/>
  <c r="V105" i="19"/>
  <c r="S155" i="19"/>
  <c r="V255" i="19"/>
  <c r="V55" i="19"/>
  <c r="S55" i="19"/>
  <c r="P105" i="19"/>
  <c r="M155" i="19"/>
  <c r="P255" i="19"/>
  <c r="P55" i="19"/>
  <c r="M105" i="19"/>
  <c r="M55" i="19"/>
  <c r="J255" i="19"/>
  <c r="S105" i="19"/>
  <c r="P155" i="19"/>
  <c r="M205" i="19"/>
  <c r="J105" i="19"/>
  <c r="M255" i="19"/>
  <c r="J205" i="19"/>
  <c r="P205" i="19"/>
  <c r="J155" i="19"/>
  <c r="J55" i="19"/>
  <c r="V103" i="19"/>
  <c r="V253" i="19"/>
  <c r="V53" i="19"/>
  <c r="V203" i="19"/>
  <c r="S253" i="19"/>
  <c r="V153" i="19"/>
  <c r="S203" i="19"/>
  <c r="S153" i="19"/>
  <c r="P203" i="19"/>
  <c r="M253" i="19"/>
  <c r="S103" i="19"/>
  <c r="P153" i="19"/>
  <c r="M203" i="19"/>
  <c r="J153" i="19"/>
  <c r="P253" i="19"/>
  <c r="P53" i="19"/>
  <c r="M103" i="19"/>
  <c r="J203" i="19"/>
  <c r="P103" i="19"/>
  <c r="J103" i="19"/>
  <c r="J53" i="19"/>
  <c r="M53" i="19"/>
  <c r="J253" i="19"/>
  <c r="S53" i="19"/>
  <c r="M153" i="19"/>
  <c r="X101" i="19"/>
  <c r="X251" i="19"/>
  <c r="X51" i="19"/>
  <c r="X201" i="19"/>
  <c r="U251" i="19"/>
  <c r="X151" i="19"/>
  <c r="U201" i="19"/>
  <c r="U151" i="19"/>
  <c r="R201" i="19"/>
  <c r="O251" i="19"/>
  <c r="U101" i="19"/>
  <c r="R151" i="19"/>
  <c r="O201" i="19"/>
  <c r="U51" i="19"/>
  <c r="R101" i="19"/>
  <c r="O151" i="19"/>
  <c r="L151" i="19"/>
  <c r="L201" i="19"/>
  <c r="R51" i="19"/>
  <c r="R251" i="19"/>
  <c r="O101" i="19"/>
  <c r="L101" i="19"/>
  <c r="L51" i="19"/>
  <c r="O51" i="19"/>
  <c r="L251" i="19"/>
  <c r="W155" i="19"/>
  <c r="T205" i="19"/>
  <c r="W105" i="19"/>
  <c r="T155" i="19"/>
  <c r="W255" i="19"/>
  <c r="W55" i="19"/>
  <c r="W205" i="19"/>
  <c r="T255" i="19"/>
  <c r="Q255" i="19"/>
  <c r="Q55" i="19"/>
  <c r="N105" i="19"/>
  <c r="Q205" i="19"/>
  <c r="N255" i="19"/>
  <c r="T105" i="19"/>
  <c r="Q155" i="19"/>
  <c r="N205" i="19"/>
  <c r="K105" i="19"/>
  <c r="K155" i="19"/>
  <c r="T55" i="19"/>
  <c r="N155" i="19"/>
  <c r="K55" i="19"/>
  <c r="N55" i="19"/>
  <c r="K255" i="19"/>
  <c r="Q105" i="19"/>
  <c r="K205" i="19"/>
  <c r="AF140" i="1"/>
  <c r="W151" i="19"/>
  <c r="T201" i="19"/>
  <c r="W101" i="19"/>
  <c r="W251" i="19"/>
  <c r="W51" i="19"/>
  <c r="W201" i="19"/>
  <c r="T251" i="19"/>
  <c r="Q251" i="19"/>
  <c r="Q51" i="19"/>
  <c r="N101" i="19"/>
  <c r="T151" i="19"/>
  <c r="Q201" i="19"/>
  <c r="N251" i="19"/>
  <c r="K101" i="19"/>
  <c r="T51" i="19"/>
  <c r="Q101" i="19"/>
  <c r="N151" i="19"/>
  <c r="K151" i="19"/>
  <c r="T101" i="19"/>
  <c r="N201" i="19"/>
  <c r="N51" i="19"/>
  <c r="K251" i="19"/>
  <c r="K201" i="19"/>
  <c r="K51" i="19"/>
  <c r="Q151" i="19"/>
  <c r="AF153" i="1"/>
  <c r="X105" i="19"/>
  <c r="U155" i="19"/>
  <c r="X255" i="19"/>
  <c r="X55" i="19"/>
  <c r="X205" i="19"/>
  <c r="U255" i="19"/>
  <c r="X155" i="19"/>
  <c r="U205" i="19"/>
  <c r="R205" i="19"/>
  <c r="O255" i="19"/>
  <c r="U105" i="19"/>
  <c r="R155" i="19"/>
  <c r="O205" i="19"/>
  <c r="L155" i="19"/>
  <c r="R255" i="19"/>
  <c r="R55" i="19"/>
  <c r="O105" i="19"/>
  <c r="L205" i="19"/>
  <c r="U55" i="19"/>
  <c r="O155" i="19"/>
  <c r="L105" i="19"/>
  <c r="L55" i="19"/>
  <c r="O55" i="19"/>
  <c r="L255" i="19"/>
  <c r="R105" i="19"/>
  <c r="X203" i="19"/>
  <c r="U253" i="19"/>
  <c r="X153" i="19"/>
  <c r="U203" i="19"/>
  <c r="X103" i="19"/>
  <c r="X253" i="19"/>
  <c r="X53" i="19"/>
  <c r="U53" i="19"/>
  <c r="R103" i="19"/>
  <c r="O153" i="19"/>
  <c r="R253" i="19"/>
  <c r="R53" i="19"/>
  <c r="O103" i="19"/>
  <c r="O53" i="19"/>
  <c r="L253" i="19"/>
  <c r="U153" i="19"/>
  <c r="R203" i="19"/>
  <c r="O253" i="19"/>
  <c r="L103" i="19"/>
  <c r="L53" i="19"/>
  <c r="L153" i="19"/>
  <c r="R153" i="19"/>
  <c r="L203" i="19"/>
  <c r="U103" i="19"/>
  <c r="O203" i="19"/>
  <c r="AF143" i="1"/>
  <c r="W202" i="19"/>
  <c r="T252" i="19"/>
  <c r="W152" i="19"/>
  <c r="T202" i="19"/>
  <c r="W102" i="19"/>
  <c r="W252" i="19"/>
  <c r="W52" i="19"/>
  <c r="T52" i="19"/>
  <c r="Q102" i="19"/>
  <c r="N152" i="19"/>
  <c r="Q252" i="19"/>
  <c r="Q52" i="19"/>
  <c r="N102" i="19"/>
  <c r="N52" i="19"/>
  <c r="K252" i="19"/>
  <c r="T102" i="19"/>
  <c r="Q152" i="19"/>
  <c r="N202" i="19"/>
  <c r="K102" i="19"/>
  <c r="Q202" i="19"/>
  <c r="K202" i="19"/>
  <c r="K52" i="19"/>
  <c r="T152" i="19"/>
  <c r="N252" i="19"/>
  <c r="K152" i="19"/>
  <c r="AF149" i="1"/>
  <c r="W104" i="19"/>
  <c r="W254" i="19"/>
  <c r="W54" i="19"/>
  <c r="W204" i="19"/>
  <c r="T254" i="19"/>
  <c r="W154" i="19"/>
  <c r="T204" i="19"/>
  <c r="T154" i="19"/>
  <c r="Q204" i="19"/>
  <c r="N254" i="19"/>
  <c r="T104" i="19"/>
  <c r="Q154" i="19"/>
  <c r="N204" i="19"/>
  <c r="T54" i="19"/>
  <c r="Q104" i="19"/>
  <c r="N154" i="19"/>
  <c r="K154" i="19"/>
  <c r="K204" i="19"/>
  <c r="Q254" i="19"/>
  <c r="N104" i="19"/>
  <c r="Q54" i="19"/>
  <c r="K104" i="19"/>
  <c r="K54" i="19"/>
  <c r="N54" i="19"/>
  <c r="K254" i="19"/>
  <c r="AF147" i="1"/>
  <c r="AF151" i="1"/>
  <c r="AF145" i="1"/>
  <c r="AF141" i="1"/>
  <c r="AF152" i="1"/>
  <c r="AB100" i="1"/>
  <c r="AF100" i="1" s="1"/>
  <c r="AC100" i="1"/>
  <c r="V154" i="19" l="1"/>
  <c r="M204" i="19"/>
  <c r="J204" i="19"/>
  <c r="J104" i="19"/>
  <c r="P54" i="19"/>
  <c r="P254" i="19"/>
  <c r="J54" i="19"/>
  <c r="V204" i="19"/>
  <c r="M154" i="19"/>
  <c r="P104" i="19"/>
  <c r="J254" i="19"/>
  <c r="M254" i="19"/>
  <c r="V54" i="19"/>
  <c r="M54" i="19"/>
  <c r="P204" i="19"/>
  <c r="V254" i="19"/>
  <c r="P154" i="19"/>
  <c r="S154" i="19"/>
  <c r="V104" i="19"/>
  <c r="AF148" i="1"/>
  <c r="J154" i="19"/>
  <c r="M104" i="19"/>
  <c r="S204" i="19"/>
  <c r="S104" i="19"/>
  <c r="S54" i="19"/>
  <c r="J238" i="19"/>
  <c r="S188" i="19"/>
  <c r="S238" i="19"/>
  <c r="J88" i="19"/>
  <c r="M238" i="19"/>
  <c r="V138" i="19"/>
  <c r="V188" i="19"/>
  <c r="M88" i="19"/>
  <c r="S38" i="19"/>
  <c r="J138" i="19"/>
  <c r="M188" i="19"/>
  <c r="M138" i="19"/>
  <c r="M38" i="19"/>
  <c r="P138" i="19"/>
  <c r="J38" i="19"/>
  <c r="S88" i="19"/>
  <c r="J188" i="19"/>
  <c r="P88" i="19"/>
  <c r="P38" i="19"/>
  <c r="P188" i="19"/>
  <c r="V88" i="19"/>
  <c r="V38" i="19"/>
  <c r="V238" i="19"/>
  <c r="P238" i="19"/>
  <c r="S138" i="19"/>
  <c r="L36" i="19"/>
  <c r="L32" i="19"/>
  <c r="K32" i="19"/>
  <c r="L26" i="19"/>
  <c r="L18" i="19"/>
  <c r="K18" i="19"/>
  <c r="L9" i="19"/>
  <c r="K9" i="19"/>
  <c r="F221" i="13" l="1"/>
  <c r="F220" i="13"/>
  <c r="F219" i="13"/>
  <c r="F218" i="13"/>
  <c r="F217" i="13"/>
  <c r="F216" i="13"/>
  <c r="F215" i="13"/>
  <c r="F214" i="13"/>
  <c r="F213" i="13"/>
  <c r="F212" i="13"/>
  <c r="F211" i="13"/>
  <c r="F210" i="13"/>
  <c r="W85" i="1" l="1"/>
  <c r="T85" i="1"/>
  <c r="K85" i="1"/>
  <c r="L85" i="1" l="1"/>
  <c r="AA85" i="1" s="1"/>
  <c r="AB85" i="1" l="1"/>
  <c r="AC85" i="1"/>
  <c r="T33" i="1" l="1"/>
  <c r="T21" i="1" l="1"/>
  <c r="AE21" i="1" s="1"/>
  <c r="AD21" i="1" s="1"/>
  <c r="T20" i="1"/>
  <c r="AE20" i="1" s="1"/>
  <c r="AD20" i="1" s="1"/>
  <c r="T18" i="1"/>
  <c r="AE18" i="1" s="1"/>
  <c r="AD18" i="1" s="1"/>
  <c r="T17" i="1"/>
  <c r="AE17" i="1" s="1"/>
  <c r="AD17" i="1" s="1"/>
  <c r="W136" i="1"/>
  <c r="T136" i="1"/>
  <c r="K136" i="1"/>
  <c r="W135" i="1"/>
  <c r="T135" i="1"/>
  <c r="AD135" i="1" s="1"/>
  <c r="W134" i="1"/>
  <c r="T134" i="1"/>
  <c r="AD134" i="1" s="1"/>
  <c r="W133" i="1"/>
  <c r="T133" i="1"/>
  <c r="K133" i="1"/>
  <c r="W132" i="1"/>
  <c r="T132" i="1"/>
  <c r="AD132" i="1" s="1"/>
  <c r="W131" i="1"/>
  <c r="T131" i="1"/>
  <c r="AD131" i="1" s="1"/>
  <c r="W130" i="1"/>
  <c r="T130" i="1"/>
  <c r="K130" i="1"/>
  <c r="T129" i="1"/>
  <c r="AE129" i="1" s="1"/>
  <c r="AD129" i="1" s="1"/>
  <c r="T128" i="1"/>
  <c r="AE128" i="1" s="1"/>
  <c r="AD128" i="1" s="1"/>
  <c r="W127" i="1"/>
  <c r="T127" i="1"/>
  <c r="K127" i="1"/>
  <c r="L136" i="1" l="1"/>
  <c r="AA136" i="1" s="1"/>
  <c r="L133" i="1"/>
  <c r="AA133" i="1" s="1"/>
  <c r="AA134" i="1" s="1"/>
  <c r="AA135" i="1" s="1"/>
  <c r="L130" i="1"/>
  <c r="AA130" i="1" s="1"/>
  <c r="AA131" i="1" s="1"/>
  <c r="AA132" i="1" s="1"/>
  <c r="L127" i="1"/>
  <c r="AA127" i="1" s="1"/>
  <c r="AA128" i="1" s="1"/>
  <c r="AA129" i="1" s="1"/>
  <c r="T123" i="1"/>
  <c r="W122" i="1"/>
  <c r="T122" i="1"/>
  <c r="W121" i="1"/>
  <c r="T121" i="1"/>
  <c r="K121" i="1"/>
  <c r="W120" i="1"/>
  <c r="T120" i="1"/>
  <c r="W119" i="1"/>
  <c r="T119" i="1"/>
  <c r="W118" i="1"/>
  <c r="T118" i="1"/>
  <c r="K118" i="1"/>
  <c r="T117" i="1"/>
  <c r="W116" i="1"/>
  <c r="T116" i="1"/>
  <c r="W115" i="1"/>
  <c r="T115" i="1"/>
  <c r="K115" i="1"/>
  <c r="T114" i="1"/>
  <c r="W113" i="1"/>
  <c r="T113" i="1"/>
  <c r="W112" i="1"/>
  <c r="T112" i="1"/>
  <c r="K112" i="1"/>
  <c r="T111" i="1"/>
  <c r="W110" i="1"/>
  <c r="T110" i="1"/>
  <c r="W109" i="1"/>
  <c r="T109" i="1"/>
  <c r="K109" i="1"/>
  <c r="K124" i="1"/>
  <c r="K106" i="1"/>
  <c r="K103" i="1"/>
  <c r="K97" i="1"/>
  <c r="K94" i="1"/>
  <c r="K91" i="1"/>
  <c r="K88" i="1"/>
  <c r="K82" i="1"/>
  <c r="K79" i="1"/>
  <c r="K76" i="1"/>
  <c r="K73" i="1"/>
  <c r="K67" i="1"/>
  <c r="K64" i="1"/>
  <c r="K61" i="1"/>
  <c r="K58" i="1"/>
  <c r="K55" i="1"/>
  <c r="K52" i="1"/>
  <c r="K49" i="1"/>
  <c r="K46" i="1"/>
  <c r="K43" i="1"/>
  <c r="K40" i="1"/>
  <c r="K37" i="1"/>
  <c r="K34" i="1"/>
  <c r="K31" i="1"/>
  <c r="K28" i="1"/>
  <c r="K25" i="1"/>
  <c r="K22" i="1"/>
  <c r="K19" i="1"/>
  <c r="K16" i="1"/>
  <c r="K13" i="1"/>
  <c r="K10" i="1"/>
  <c r="T126" i="1"/>
  <c r="AE126" i="1" s="1"/>
  <c r="AD126" i="1" s="1"/>
  <c r="T125" i="1"/>
  <c r="AE125" i="1" s="1"/>
  <c r="AD125" i="1" s="1"/>
  <c r="W124" i="1"/>
  <c r="T124" i="1"/>
  <c r="T108" i="1"/>
  <c r="W107" i="1"/>
  <c r="T107" i="1"/>
  <c r="T105" i="1"/>
  <c r="W104" i="1"/>
  <c r="T104" i="1"/>
  <c r="W103" i="1"/>
  <c r="T103" i="1"/>
  <c r="T96" i="1"/>
  <c r="W95" i="1"/>
  <c r="T95" i="1"/>
  <c r="T93" i="1"/>
  <c r="W94" i="1"/>
  <c r="T94" i="1"/>
  <c r="W92" i="1"/>
  <c r="T92" i="1"/>
  <c r="AA92" i="1" s="1"/>
  <c r="T90" i="1"/>
  <c r="T89" i="1"/>
  <c r="W84" i="1"/>
  <c r="T84" i="1"/>
  <c r="W83" i="1"/>
  <c r="T83" i="1"/>
  <c r="W81" i="1"/>
  <c r="T81" i="1"/>
  <c r="AD81" i="1" s="1"/>
  <c r="W80" i="1"/>
  <c r="T80" i="1"/>
  <c r="T78" i="1"/>
  <c r="W76" i="1"/>
  <c r="T76" i="1"/>
  <c r="T77" i="1"/>
  <c r="W73" i="1"/>
  <c r="T73" i="1"/>
  <c r="T66" i="1"/>
  <c r="T63" i="1"/>
  <c r="AE63" i="1" s="1"/>
  <c r="AD63" i="1" s="1"/>
  <c r="T62" i="1"/>
  <c r="T60" i="1"/>
  <c r="AE60" i="1" s="1"/>
  <c r="AD60" i="1" s="1"/>
  <c r="T59" i="1"/>
  <c r="T57" i="1"/>
  <c r="AE57" i="1" s="1"/>
  <c r="AD57" i="1" s="1"/>
  <c r="W56" i="1"/>
  <c r="T56" i="1"/>
  <c r="T54" i="1"/>
  <c r="T53" i="1"/>
  <c r="T51" i="1"/>
  <c r="AE51" i="1" s="1"/>
  <c r="AD51" i="1" s="1"/>
  <c r="W52" i="1"/>
  <c r="T52" i="1"/>
  <c r="T50" i="1"/>
  <c r="T48" i="1"/>
  <c r="AE48" i="1" s="1"/>
  <c r="AD48" i="1" s="1"/>
  <c r="T47" i="1"/>
  <c r="T45" i="1"/>
  <c r="AE45" i="1" s="1"/>
  <c r="AD45" i="1" s="1"/>
  <c r="W44" i="1"/>
  <c r="T44" i="1"/>
  <c r="W46" i="1"/>
  <c r="T46" i="1"/>
  <c r="W43" i="1"/>
  <c r="T43" i="1"/>
  <c r="T42" i="1"/>
  <c r="T41" i="1"/>
  <c r="W40" i="1"/>
  <c r="T40" i="1"/>
  <c r="T39" i="1"/>
  <c r="AE39" i="1" s="1"/>
  <c r="AD39" i="1" s="1"/>
  <c r="T38" i="1"/>
  <c r="W37" i="1"/>
  <c r="T37" i="1"/>
  <c r="T36" i="1"/>
  <c r="AE36" i="1" s="1"/>
  <c r="AD36" i="1" s="1"/>
  <c r="T35" i="1"/>
  <c r="W34" i="1"/>
  <c r="T34" i="1"/>
  <c r="W33" i="1"/>
  <c r="AD33" i="1"/>
  <c r="W32" i="1"/>
  <c r="T32" i="1"/>
  <c r="W31" i="1"/>
  <c r="T31" i="1"/>
  <c r="T30" i="1"/>
  <c r="AE30" i="1" s="1"/>
  <c r="AD30" i="1" s="1"/>
  <c r="W29" i="1"/>
  <c r="T29" i="1"/>
  <c r="W28" i="1"/>
  <c r="T28" i="1"/>
  <c r="T27" i="1"/>
  <c r="AE27" i="1" s="1"/>
  <c r="AD27" i="1" s="1"/>
  <c r="T26" i="1"/>
  <c r="W25" i="1"/>
  <c r="T25" i="1"/>
  <c r="W24" i="1"/>
  <c r="T24" i="1"/>
  <c r="AE24" i="1" s="1"/>
  <c r="AD24" i="1" s="1"/>
  <c r="W23" i="1"/>
  <c r="T23" i="1"/>
  <c r="AE26" i="1" l="1"/>
  <c r="AD26" i="1" s="1"/>
  <c r="AD32" i="1"/>
  <c r="AE38" i="1"/>
  <c r="AD38" i="1" s="1"/>
  <c r="AD56" i="1"/>
  <c r="AE62" i="1"/>
  <c r="AD62" i="1" s="1"/>
  <c r="AD80" i="1"/>
  <c r="AE89" i="1"/>
  <c r="AD89" i="1" s="1"/>
  <c r="AE93" i="1"/>
  <c r="AD93" i="1" s="1"/>
  <c r="AA93" i="1"/>
  <c r="AE114" i="1"/>
  <c r="AD114" i="1" s="1"/>
  <c r="AD119" i="1"/>
  <c r="AE23" i="1"/>
  <c r="AD23" i="1" s="1"/>
  <c r="AD29" i="1"/>
  <c r="AE35" i="1"/>
  <c r="AD35" i="1" s="1"/>
  <c r="AE47" i="1"/>
  <c r="AD47" i="1" s="1"/>
  <c r="AE50" i="1"/>
  <c r="AD50" i="1" s="1"/>
  <c r="AE54" i="1"/>
  <c r="AD54" i="1" s="1"/>
  <c r="AE77" i="1"/>
  <c r="AD77" i="1" s="1"/>
  <c r="AE78" i="1"/>
  <c r="AD78" i="1" s="1"/>
  <c r="AE90" i="1"/>
  <c r="AD90" i="1" s="1"/>
  <c r="AD95" i="1"/>
  <c r="AD104" i="1"/>
  <c r="AD107" i="1"/>
  <c r="AE111" i="1"/>
  <c r="AD111" i="1" s="1"/>
  <c r="AD116" i="1"/>
  <c r="AE53" i="1"/>
  <c r="AD53" i="1" s="1"/>
  <c r="AE59" i="1"/>
  <c r="AD59" i="1" s="1"/>
  <c r="AE96" i="1"/>
  <c r="AD96" i="1" s="1"/>
  <c r="AE105" i="1"/>
  <c r="AD105" i="1" s="1"/>
  <c r="AE108" i="1"/>
  <c r="AD108" i="1" s="1"/>
  <c r="AD110" i="1"/>
  <c r="AE117" i="1"/>
  <c r="AD117" i="1" s="1"/>
  <c r="AE122" i="1"/>
  <c r="AD122" i="1" s="1"/>
  <c r="AD113" i="1"/>
  <c r="AD120" i="1"/>
  <c r="AE92" i="1"/>
  <c r="AD92" i="1" s="1"/>
  <c r="AD44" i="1"/>
  <c r="AB136" i="1"/>
  <c r="AC136" i="1"/>
  <c r="AB133" i="1"/>
  <c r="AC133" i="1"/>
  <c r="AB135" i="1"/>
  <c r="AC135" i="1"/>
  <c r="AB134" i="1"/>
  <c r="AC134" i="1"/>
  <c r="AB130" i="1"/>
  <c r="AC130" i="1"/>
  <c r="AB132" i="1"/>
  <c r="AC132" i="1"/>
  <c r="AB131" i="1"/>
  <c r="AC131" i="1"/>
  <c r="AB127" i="1"/>
  <c r="AC127" i="1"/>
  <c r="AB129" i="1"/>
  <c r="AC129" i="1"/>
  <c r="AB128" i="1"/>
  <c r="AC128" i="1"/>
  <c r="L121" i="1"/>
  <c r="AA121" i="1" s="1"/>
  <c r="AA122" i="1" s="1"/>
  <c r="L118" i="1"/>
  <c r="AA118" i="1" s="1"/>
  <c r="AA119" i="1" s="1"/>
  <c r="AA120" i="1" s="1"/>
  <c r="L115" i="1"/>
  <c r="AA115" i="1" s="1"/>
  <c r="AA116" i="1" s="1"/>
  <c r="AA117" i="1" s="1"/>
  <c r="L112" i="1"/>
  <c r="AA112" i="1" s="1"/>
  <c r="AA113" i="1" s="1"/>
  <c r="AA114" i="1" s="1"/>
  <c r="L109" i="1"/>
  <c r="AA109" i="1" s="1"/>
  <c r="AA110" i="1" s="1"/>
  <c r="AA111" i="1" s="1"/>
  <c r="L124" i="1"/>
  <c r="AA124" i="1" s="1"/>
  <c r="AA125" i="1" s="1"/>
  <c r="AA126" i="1" s="1"/>
  <c r="L106" i="1"/>
  <c r="L103" i="1"/>
  <c r="AA103" i="1" s="1"/>
  <c r="AA104" i="1" s="1"/>
  <c r="AA105" i="1" s="1"/>
  <c r="L97" i="1"/>
  <c r="L94" i="1"/>
  <c r="AA94" i="1" s="1"/>
  <c r="AA95" i="1" s="1"/>
  <c r="AA96" i="1" s="1"/>
  <c r="L91" i="1"/>
  <c r="L88" i="1"/>
  <c r="L82" i="1"/>
  <c r="L79" i="1"/>
  <c r="L76" i="1"/>
  <c r="AA76" i="1" s="1"/>
  <c r="AA77" i="1" s="1"/>
  <c r="AA78" i="1" s="1"/>
  <c r="L73" i="1"/>
  <c r="AA73" i="1" s="1"/>
  <c r="L67" i="1"/>
  <c r="L64" i="1"/>
  <c r="L61" i="1"/>
  <c r="L58" i="1"/>
  <c r="L55" i="1"/>
  <c r="L52" i="1"/>
  <c r="AA52" i="1" s="1"/>
  <c r="AA53" i="1" s="1"/>
  <c r="AA54" i="1" s="1"/>
  <c r="L49" i="1"/>
  <c r="L46" i="1"/>
  <c r="AA46" i="1" s="1"/>
  <c r="AA47" i="1" s="1"/>
  <c r="AA48" i="1" s="1"/>
  <c r="L43" i="1"/>
  <c r="AA43" i="1" s="1"/>
  <c r="AA44" i="1" s="1"/>
  <c r="AA45" i="1" s="1"/>
  <c r="L40" i="1"/>
  <c r="AA40" i="1" s="1"/>
  <c r="L37" i="1"/>
  <c r="AA37" i="1" s="1"/>
  <c r="AA38" i="1" s="1"/>
  <c r="AA39" i="1" s="1"/>
  <c r="L34" i="1"/>
  <c r="AA34" i="1" s="1"/>
  <c r="AA35" i="1" s="1"/>
  <c r="AA36" i="1" s="1"/>
  <c r="L31" i="1"/>
  <c r="AA31" i="1" s="1"/>
  <c r="AA32" i="1" s="1"/>
  <c r="AA33" i="1" s="1"/>
  <c r="L28" i="1"/>
  <c r="AA28" i="1" s="1"/>
  <c r="AA29" i="1" s="1"/>
  <c r="AA30" i="1" s="1"/>
  <c r="L25" i="1"/>
  <c r="AA25" i="1" s="1"/>
  <c r="AA26" i="1" s="1"/>
  <c r="AA27" i="1" s="1"/>
  <c r="L22" i="1"/>
  <c r="L19" i="1"/>
  <c r="L16" i="1"/>
  <c r="L13" i="1"/>
  <c r="L10" i="1"/>
  <c r="T16" i="1"/>
  <c r="W16" i="1"/>
  <c r="T19" i="1"/>
  <c r="W19" i="1"/>
  <c r="T22" i="1"/>
  <c r="W22" i="1"/>
  <c r="T49" i="1"/>
  <c r="W49" i="1"/>
  <c r="T55" i="1"/>
  <c r="W55" i="1"/>
  <c r="T58" i="1"/>
  <c r="W58" i="1"/>
  <c r="T61" i="1"/>
  <c r="W61" i="1"/>
  <c r="T64" i="1"/>
  <c r="W64" i="1"/>
  <c r="T67" i="1"/>
  <c r="W67" i="1"/>
  <c r="T79" i="1"/>
  <c r="W79" i="1"/>
  <c r="T82" i="1"/>
  <c r="W82" i="1"/>
  <c r="T88" i="1"/>
  <c r="W88" i="1"/>
  <c r="T91" i="1"/>
  <c r="W91" i="1"/>
  <c r="T97" i="1"/>
  <c r="W97" i="1"/>
  <c r="T106" i="1"/>
  <c r="W106" i="1"/>
  <c r="T14" i="1"/>
  <c r="T15" i="1"/>
  <c r="T11" i="1"/>
  <c r="T12" i="1"/>
  <c r="W147" i="19" l="1"/>
  <c r="T197" i="19"/>
  <c r="W97" i="19"/>
  <c r="W247" i="19"/>
  <c r="W47" i="19"/>
  <c r="W197" i="19"/>
  <c r="T247" i="19"/>
  <c r="Q247" i="19"/>
  <c r="Q47" i="19"/>
  <c r="T147" i="19"/>
  <c r="Q197" i="19"/>
  <c r="N247" i="19"/>
  <c r="T97" i="19"/>
  <c r="Q147" i="19"/>
  <c r="N197" i="19"/>
  <c r="K97" i="19"/>
  <c r="K147" i="19"/>
  <c r="Q97" i="19"/>
  <c r="K47" i="19"/>
  <c r="N47" i="19"/>
  <c r="K247" i="19"/>
  <c r="T47" i="19"/>
  <c r="N147" i="19"/>
  <c r="N97" i="19"/>
  <c r="K197" i="19"/>
  <c r="X148" i="19"/>
  <c r="U198" i="19"/>
  <c r="X98" i="19"/>
  <c r="X248" i="19"/>
  <c r="X48" i="19"/>
  <c r="X198" i="19"/>
  <c r="U248" i="19"/>
  <c r="R248" i="19"/>
  <c r="R48" i="19"/>
  <c r="U148" i="19"/>
  <c r="R198" i="19"/>
  <c r="O248" i="19"/>
  <c r="L98" i="19"/>
  <c r="U48" i="19"/>
  <c r="R98" i="19"/>
  <c r="O148" i="19"/>
  <c r="L148" i="19"/>
  <c r="R148" i="19"/>
  <c r="O48" i="19"/>
  <c r="L248" i="19"/>
  <c r="O98" i="19"/>
  <c r="L198" i="19"/>
  <c r="U98" i="19"/>
  <c r="O198" i="19"/>
  <c r="L48" i="19"/>
  <c r="W249" i="19"/>
  <c r="W49" i="19"/>
  <c r="W199" i="19"/>
  <c r="T249" i="19"/>
  <c r="W149" i="19"/>
  <c r="T199" i="19"/>
  <c r="W99" i="19"/>
  <c r="T99" i="19"/>
  <c r="Q149" i="19"/>
  <c r="N199" i="19"/>
  <c r="T49" i="19"/>
  <c r="Q99" i="19"/>
  <c r="N149" i="19"/>
  <c r="T149" i="19"/>
  <c r="Q199" i="19"/>
  <c r="N249" i="19"/>
  <c r="N99" i="19"/>
  <c r="K199" i="19"/>
  <c r="N49" i="19"/>
  <c r="K249" i="19"/>
  <c r="Q49" i="19"/>
  <c r="K99" i="19"/>
  <c r="Q249" i="19"/>
  <c r="K149" i="19"/>
  <c r="K49" i="19"/>
  <c r="X250" i="19"/>
  <c r="X50" i="19"/>
  <c r="X200" i="19"/>
  <c r="U250" i="19"/>
  <c r="X150" i="19"/>
  <c r="U200" i="19"/>
  <c r="X100" i="19"/>
  <c r="U100" i="19"/>
  <c r="R150" i="19"/>
  <c r="O200" i="19"/>
  <c r="U50" i="19"/>
  <c r="R100" i="19"/>
  <c r="O150" i="19"/>
  <c r="R250" i="19"/>
  <c r="R50" i="19"/>
  <c r="O100" i="19"/>
  <c r="L200" i="19"/>
  <c r="L50" i="19"/>
  <c r="O50" i="19"/>
  <c r="L250" i="19"/>
  <c r="R200" i="19"/>
  <c r="L150" i="19"/>
  <c r="U150" i="19"/>
  <c r="O250" i="19"/>
  <c r="L100" i="19"/>
  <c r="X97" i="19"/>
  <c r="X247" i="19"/>
  <c r="X47" i="19"/>
  <c r="X197" i="19"/>
  <c r="U247" i="19"/>
  <c r="X147" i="19"/>
  <c r="U197" i="19"/>
  <c r="U147" i="19"/>
  <c r="R197" i="19"/>
  <c r="O247" i="19"/>
  <c r="U97" i="19"/>
  <c r="R147" i="19"/>
  <c r="O197" i="19"/>
  <c r="L147" i="19"/>
  <c r="R247" i="19"/>
  <c r="R47" i="19"/>
  <c r="O97" i="19"/>
  <c r="L197" i="19"/>
  <c r="R97" i="19"/>
  <c r="L97" i="19"/>
  <c r="L47" i="19"/>
  <c r="O47" i="19"/>
  <c r="L247" i="19"/>
  <c r="U47" i="19"/>
  <c r="O147" i="19"/>
  <c r="W198" i="19"/>
  <c r="T248" i="19"/>
  <c r="W148" i="19"/>
  <c r="T198" i="19"/>
  <c r="W98" i="19"/>
  <c r="W248" i="19"/>
  <c r="W48" i="19"/>
  <c r="T48" i="19"/>
  <c r="Q98" i="19"/>
  <c r="N148" i="19"/>
  <c r="Q248" i="19"/>
  <c r="Q48" i="19"/>
  <c r="N48" i="19"/>
  <c r="K248" i="19"/>
  <c r="T148" i="19"/>
  <c r="Q198" i="19"/>
  <c r="N248" i="19"/>
  <c r="K98" i="19"/>
  <c r="K148" i="19"/>
  <c r="K48" i="19"/>
  <c r="Q148" i="19"/>
  <c r="N98" i="19"/>
  <c r="K198" i="19"/>
  <c r="T98" i="19"/>
  <c r="N198" i="19"/>
  <c r="X199" i="19"/>
  <c r="U249" i="19"/>
  <c r="X149" i="19"/>
  <c r="U199" i="19"/>
  <c r="X99" i="19"/>
  <c r="X249" i="19"/>
  <c r="X49" i="19"/>
  <c r="U49" i="19"/>
  <c r="R99" i="19"/>
  <c r="O149" i="19"/>
  <c r="R249" i="19"/>
  <c r="R49" i="19"/>
  <c r="O49" i="19"/>
  <c r="L249" i="19"/>
  <c r="U99" i="19"/>
  <c r="R149" i="19"/>
  <c r="O199" i="19"/>
  <c r="L99" i="19"/>
  <c r="L49" i="19"/>
  <c r="U149" i="19"/>
  <c r="O249" i="19"/>
  <c r="O99" i="19"/>
  <c r="L199" i="19"/>
  <c r="R199" i="19"/>
  <c r="L149" i="19"/>
  <c r="W100" i="19"/>
  <c r="W250" i="19"/>
  <c r="W50" i="19"/>
  <c r="W200" i="19"/>
  <c r="T250" i="19"/>
  <c r="W150" i="19"/>
  <c r="T200" i="19"/>
  <c r="T150" i="19"/>
  <c r="Q200" i="19"/>
  <c r="N250" i="19"/>
  <c r="T100" i="19"/>
  <c r="Q150" i="19"/>
  <c r="N200" i="19"/>
  <c r="K150" i="19"/>
  <c r="Q250" i="19"/>
  <c r="Q50" i="19"/>
  <c r="N100" i="19"/>
  <c r="K200" i="19"/>
  <c r="T50" i="19"/>
  <c r="N150" i="19"/>
  <c r="K100" i="19"/>
  <c r="N50" i="19"/>
  <c r="K250" i="19"/>
  <c r="Q100" i="19"/>
  <c r="K50" i="19"/>
  <c r="AA82" i="1"/>
  <c r="AA83" i="1" s="1"/>
  <c r="AA84" i="1" s="1"/>
  <c r="AB84" i="1" s="1"/>
  <c r="AA91" i="1"/>
  <c r="AF134" i="1"/>
  <c r="AF132" i="1"/>
  <c r="AF131" i="1"/>
  <c r="AF128" i="1"/>
  <c r="AF129" i="1"/>
  <c r="AF135" i="1"/>
  <c r="AB121" i="1"/>
  <c r="AC121" i="1"/>
  <c r="AB122" i="1"/>
  <c r="AC122" i="1"/>
  <c r="AB119" i="1"/>
  <c r="AC119" i="1"/>
  <c r="AB118" i="1"/>
  <c r="AC118" i="1"/>
  <c r="AB120" i="1"/>
  <c r="AC120" i="1"/>
  <c r="AB115" i="1"/>
  <c r="AC115" i="1"/>
  <c r="AB116" i="1"/>
  <c r="AC116" i="1"/>
  <c r="AB117" i="1"/>
  <c r="AC117" i="1"/>
  <c r="AB112" i="1"/>
  <c r="AC112" i="1"/>
  <c r="AB113" i="1"/>
  <c r="AC113" i="1"/>
  <c r="AB114" i="1"/>
  <c r="AC114" i="1"/>
  <c r="AB109" i="1"/>
  <c r="AC109" i="1"/>
  <c r="AB110" i="1"/>
  <c r="AC110" i="1"/>
  <c r="AB111" i="1"/>
  <c r="AC111" i="1"/>
  <c r="AB126" i="1"/>
  <c r="AC126" i="1"/>
  <c r="AB125" i="1"/>
  <c r="AC125" i="1"/>
  <c r="AB124" i="1"/>
  <c r="AC124" i="1"/>
  <c r="AB105" i="1"/>
  <c r="AC105" i="1"/>
  <c r="AB104" i="1"/>
  <c r="AC104" i="1"/>
  <c r="AB103" i="1"/>
  <c r="AC103" i="1"/>
  <c r="AB96" i="1"/>
  <c r="AC96" i="1"/>
  <c r="AB95" i="1"/>
  <c r="AC95" i="1"/>
  <c r="AB93" i="1"/>
  <c r="AC93" i="1"/>
  <c r="AB94" i="1"/>
  <c r="AC94" i="1"/>
  <c r="AB92" i="1"/>
  <c r="AC92" i="1"/>
  <c r="AB78" i="1"/>
  <c r="AC78" i="1"/>
  <c r="AB76" i="1"/>
  <c r="AC76" i="1"/>
  <c r="AB77" i="1"/>
  <c r="AC77" i="1"/>
  <c r="AB73" i="1"/>
  <c r="AC73" i="1"/>
  <c r="AB54" i="1"/>
  <c r="AC54" i="1"/>
  <c r="AB53" i="1"/>
  <c r="AC53" i="1"/>
  <c r="AB52" i="1"/>
  <c r="AC52" i="1"/>
  <c r="AB48" i="1"/>
  <c r="AC48" i="1"/>
  <c r="AB47" i="1"/>
  <c r="AC47" i="1"/>
  <c r="AB45" i="1"/>
  <c r="AC45" i="1"/>
  <c r="AB44" i="1"/>
  <c r="AC44" i="1"/>
  <c r="AB46" i="1"/>
  <c r="AC46" i="1"/>
  <c r="AB43" i="1"/>
  <c r="AC43" i="1"/>
  <c r="AB40" i="1"/>
  <c r="AC40" i="1"/>
  <c r="AB39" i="1"/>
  <c r="AC39" i="1"/>
  <c r="AB38" i="1"/>
  <c r="AC38" i="1"/>
  <c r="AB37" i="1"/>
  <c r="AC37" i="1"/>
  <c r="AB36" i="1"/>
  <c r="AC36" i="1"/>
  <c r="AB35" i="1"/>
  <c r="AC35" i="1"/>
  <c r="AB34" i="1"/>
  <c r="AC34" i="1"/>
  <c r="AB33" i="1"/>
  <c r="AC33" i="1"/>
  <c r="AB32" i="1"/>
  <c r="AC32" i="1"/>
  <c r="AB31" i="1"/>
  <c r="AC31" i="1"/>
  <c r="AB30" i="1"/>
  <c r="AC30" i="1"/>
  <c r="AB29" i="1"/>
  <c r="AC29" i="1"/>
  <c r="AB28" i="1"/>
  <c r="AC28" i="1"/>
  <c r="AB27" i="1"/>
  <c r="AC27" i="1"/>
  <c r="AB26" i="1"/>
  <c r="AC26" i="1"/>
  <c r="AB25" i="1"/>
  <c r="AC25" i="1"/>
  <c r="T8" i="1"/>
  <c r="W8" i="1"/>
  <c r="T9" i="1"/>
  <c r="T7" i="1"/>
  <c r="T10" i="1"/>
  <c r="T13" i="1"/>
  <c r="X63" i="19" l="1"/>
  <c r="U113" i="19"/>
  <c r="X113" i="19"/>
  <c r="U163" i="19"/>
  <c r="R213" i="19"/>
  <c r="X163" i="19"/>
  <c r="U213" i="19"/>
  <c r="X213" i="19"/>
  <c r="X13" i="19"/>
  <c r="U63" i="19"/>
  <c r="R63" i="19"/>
  <c r="O113" i="19"/>
  <c r="R163" i="19"/>
  <c r="R113" i="19"/>
  <c r="U13" i="19"/>
  <c r="O213" i="19"/>
  <c r="R13" i="19"/>
  <c r="O63" i="19"/>
  <c r="O163" i="19"/>
  <c r="L163" i="19"/>
  <c r="L113" i="19"/>
  <c r="L63" i="19"/>
  <c r="O13" i="19"/>
  <c r="L213" i="19"/>
  <c r="W66" i="19"/>
  <c r="T116" i="19"/>
  <c r="W116" i="19"/>
  <c r="T166" i="19"/>
  <c r="T16" i="19"/>
  <c r="Q16" i="19"/>
  <c r="W216" i="19"/>
  <c r="W16" i="19"/>
  <c r="T66" i="19"/>
  <c r="Q66" i="19"/>
  <c r="N116" i="19"/>
  <c r="Q166" i="19"/>
  <c r="Q216" i="19"/>
  <c r="Q116" i="19"/>
  <c r="N166" i="19"/>
  <c r="W166" i="19"/>
  <c r="T216" i="19"/>
  <c r="N16" i="19"/>
  <c r="K216" i="19"/>
  <c r="N216" i="19"/>
  <c r="K166" i="19"/>
  <c r="K116" i="19"/>
  <c r="N66" i="19"/>
  <c r="K66" i="19"/>
  <c r="W219" i="19"/>
  <c r="W19" i="19"/>
  <c r="T69" i="19"/>
  <c r="W69" i="19"/>
  <c r="T119" i="19"/>
  <c r="Q219" i="19"/>
  <c r="N219" i="19"/>
  <c r="W169" i="19"/>
  <c r="T219" i="19"/>
  <c r="T19" i="19"/>
  <c r="Q19" i="19"/>
  <c r="N69" i="19"/>
  <c r="Q69" i="19"/>
  <c r="N119" i="19"/>
  <c r="K69" i="19"/>
  <c r="W119" i="19"/>
  <c r="Q119" i="19"/>
  <c r="N169" i="19"/>
  <c r="N19" i="19"/>
  <c r="K219" i="19"/>
  <c r="T169" i="19"/>
  <c r="K169" i="19"/>
  <c r="Q169" i="19"/>
  <c r="K119" i="19"/>
  <c r="W228" i="19"/>
  <c r="W28" i="19"/>
  <c r="T78" i="19"/>
  <c r="W78" i="19"/>
  <c r="T128" i="19"/>
  <c r="Q128" i="19"/>
  <c r="Q178" i="19"/>
  <c r="N228" i="19"/>
  <c r="W128" i="19"/>
  <c r="T178" i="19"/>
  <c r="Q228" i="19"/>
  <c r="Q28" i="19"/>
  <c r="N78" i="19"/>
  <c r="W178" i="19"/>
  <c r="T228" i="19"/>
  <c r="T28" i="19"/>
  <c r="Q78" i="19"/>
  <c r="N128" i="19"/>
  <c r="K78" i="19"/>
  <c r="N28" i="19"/>
  <c r="K228" i="19"/>
  <c r="N178" i="19"/>
  <c r="K178" i="19"/>
  <c r="K128" i="19"/>
  <c r="X229" i="19"/>
  <c r="X29" i="19"/>
  <c r="U79" i="19"/>
  <c r="X79" i="19"/>
  <c r="U129" i="19"/>
  <c r="R179" i="19"/>
  <c r="X129" i="19"/>
  <c r="U179" i="19"/>
  <c r="X179" i="19"/>
  <c r="U229" i="19"/>
  <c r="U29" i="19"/>
  <c r="R29" i="19"/>
  <c r="R79" i="19"/>
  <c r="O179" i="19"/>
  <c r="R129" i="19"/>
  <c r="O229" i="19"/>
  <c r="O29" i="19"/>
  <c r="L229" i="19"/>
  <c r="O129" i="19"/>
  <c r="L179" i="19"/>
  <c r="O79" i="19"/>
  <c r="L129" i="19"/>
  <c r="R229" i="19"/>
  <c r="L79" i="19"/>
  <c r="W135" i="19"/>
  <c r="T185" i="19"/>
  <c r="W185" i="19"/>
  <c r="T235" i="19"/>
  <c r="T35" i="19"/>
  <c r="Q85" i="19"/>
  <c r="N135" i="19"/>
  <c r="W85" i="19"/>
  <c r="T135" i="19"/>
  <c r="W235" i="19"/>
  <c r="W35" i="19"/>
  <c r="T85" i="19"/>
  <c r="N185" i="19"/>
  <c r="N235" i="19"/>
  <c r="Q135" i="19"/>
  <c r="Q185" i="19"/>
  <c r="K185" i="19"/>
  <c r="Q235" i="19"/>
  <c r="K135" i="19"/>
  <c r="Q35" i="19"/>
  <c r="N85" i="19"/>
  <c r="K85" i="19"/>
  <c r="N35" i="19"/>
  <c r="K235" i="19"/>
  <c r="W139" i="19"/>
  <c r="T189" i="19"/>
  <c r="W189" i="19"/>
  <c r="T239" i="19"/>
  <c r="T39" i="19"/>
  <c r="Q239" i="19"/>
  <c r="Q89" i="19"/>
  <c r="N139" i="19"/>
  <c r="N189" i="19"/>
  <c r="W89" i="19"/>
  <c r="T139" i="19"/>
  <c r="N239" i="19"/>
  <c r="W239" i="19"/>
  <c r="W39" i="19"/>
  <c r="T89" i="19"/>
  <c r="Q139" i="19"/>
  <c r="K189" i="19"/>
  <c r="Q189" i="19"/>
  <c r="K139" i="19"/>
  <c r="K89" i="19"/>
  <c r="K39" i="19"/>
  <c r="N89" i="19"/>
  <c r="Q39" i="19"/>
  <c r="N39" i="19"/>
  <c r="K239" i="19"/>
  <c r="X242" i="19"/>
  <c r="X42" i="19"/>
  <c r="U92" i="19"/>
  <c r="X92" i="19"/>
  <c r="U142" i="19"/>
  <c r="R192" i="19"/>
  <c r="X142" i="19"/>
  <c r="U192" i="19"/>
  <c r="X192" i="19"/>
  <c r="U242" i="19"/>
  <c r="U42" i="19"/>
  <c r="R142" i="19"/>
  <c r="R42" i="19"/>
  <c r="R242" i="19"/>
  <c r="R92" i="19"/>
  <c r="O192" i="19"/>
  <c r="O242" i="19"/>
  <c r="O42" i="19"/>
  <c r="L242" i="19"/>
  <c r="O92" i="19"/>
  <c r="L192" i="19"/>
  <c r="L42" i="19"/>
  <c r="L142" i="19"/>
  <c r="O142" i="19"/>
  <c r="L92" i="19"/>
  <c r="W143" i="19"/>
  <c r="T193" i="19"/>
  <c r="W193" i="19"/>
  <c r="T243" i="19"/>
  <c r="T43" i="19"/>
  <c r="Q193" i="19"/>
  <c r="Q243" i="19"/>
  <c r="Q93" i="19"/>
  <c r="N143" i="19"/>
  <c r="W93" i="19"/>
  <c r="T143" i="19"/>
  <c r="N193" i="19"/>
  <c r="W243" i="19"/>
  <c r="W43" i="19"/>
  <c r="T93" i="19"/>
  <c r="N243" i="19"/>
  <c r="N93" i="19"/>
  <c r="K193" i="19"/>
  <c r="K43" i="19"/>
  <c r="K143" i="19"/>
  <c r="K93" i="19"/>
  <c r="Q43" i="19"/>
  <c r="Q143" i="19"/>
  <c r="N43" i="19"/>
  <c r="K243" i="19"/>
  <c r="W194" i="19"/>
  <c r="T244" i="19"/>
  <c r="T44" i="19"/>
  <c r="W244" i="19"/>
  <c r="W44" i="19"/>
  <c r="T94" i="19"/>
  <c r="Q244" i="19"/>
  <c r="W94" i="19"/>
  <c r="T144" i="19"/>
  <c r="N194" i="19"/>
  <c r="N244" i="19"/>
  <c r="Q144" i="19"/>
  <c r="Q44" i="19"/>
  <c r="N94" i="19"/>
  <c r="W144" i="19"/>
  <c r="T194" i="19"/>
  <c r="Q194" i="19"/>
  <c r="K44" i="19"/>
  <c r="K144" i="19"/>
  <c r="Q94" i="19"/>
  <c r="K94" i="19"/>
  <c r="N144" i="19"/>
  <c r="N44" i="19"/>
  <c r="K244" i="19"/>
  <c r="K194" i="19"/>
  <c r="X67" i="19"/>
  <c r="U117" i="19"/>
  <c r="X117" i="19"/>
  <c r="U167" i="19"/>
  <c r="R217" i="19"/>
  <c r="X167" i="19"/>
  <c r="U217" i="19"/>
  <c r="X217" i="19"/>
  <c r="X17" i="19"/>
  <c r="U67" i="19"/>
  <c r="R67" i="19"/>
  <c r="O117" i="19"/>
  <c r="R167" i="19"/>
  <c r="R117" i="19"/>
  <c r="O217" i="19"/>
  <c r="U17" i="19"/>
  <c r="R17" i="19"/>
  <c r="O67" i="19"/>
  <c r="L167" i="19"/>
  <c r="L117" i="19"/>
  <c r="L67" i="19"/>
  <c r="O167" i="19"/>
  <c r="O17" i="19"/>
  <c r="L217" i="19"/>
  <c r="X178" i="19"/>
  <c r="U228" i="19"/>
  <c r="U28" i="19"/>
  <c r="X228" i="19"/>
  <c r="X28" i="19"/>
  <c r="U78" i="19"/>
  <c r="R128" i="19"/>
  <c r="X78" i="19"/>
  <c r="U128" i="19"/>
  <c r="X128" i="19"/>
  <c r="U178" i="19"/>
  <c r="R178" i="19"/>
  <c r="O228" i="19"/>
  <c r="R228" i="19"/>
  <c r="R28" i="19"/>
  <c r="R78" i="19"/>
  <c r="O178" i="19"/>
  <c r="L78" i="19"/>
  <c r="O128" i="19"/>
  <c r="O28" i="19"/>
  <c r="L228" i="19"/>
  <c r="L178" i="19"/>
  <c r="O78" i="19"/>
  <c r="L128" i="19"/>
  <c r="X85" i="19"/>
  <c r="U135" i="19"/>
  <c r="X135" i="19"/>
  <c r="U185" i="19"/>
  <c r="R235" i="19"/>
  <c r="X185" i="19"/>
  <c r="U235" i="19"/>
  <c r="U35" i="19"/>
  <c r="X235" i="19"/>
  <c r="X35" i="19"/>
  <c r="U85" i="19"/>
  <c r="R85" i="19"/>
  <c r="O135" i="19"/>
  <c r="O235" i="19"/>
  <c r="R135" i="19"/>
  <c r="R185" i="19"/>
  <c r="R35" i="19"/>
  <c r="O85" i="19"/>
  <c r="O185" i="19"/>
  <c r="L185" i="19"/>
  <c r="L135" i="19"/>
  <c r="L85" i="19"/>
  <c r="O35" i="19"/>
  <c r="L235" i="19"/>
  <c r="W92" i="19"/>
  <c r="T142" i="19"/>
  <c r="W142" i="19"/>
  <c r="T192" i="19"/>
  <c r="W192" i="19"/>
  <c r="T242" i="19"/>
  <c r="T42" i="19"/>
  <c r="Q192" i="19"/>
  <c r="Q142" i="19"/>
  <c r="Q42" i="19"/>
  <c r="Q242" i="19"/>
  <c r="Q92" i="19"/>
  <c r="N142" i="19"/>
  <c r="W242" i="19"/>
  <c r="W42" i="19"/>
  <c r="T92" i="19"/>
  <c r="N192" i="19"/>
  <c r="N42" i="19"/>
  <c r="K242" i="19"/>
  <c r="K42" i="19"/>
  <c r="N242" i="19"/>
  <c r="N92" i="19"/>
  <c r="K192" i="19"/>
  <c r="K142" i="19"/>
  <c r="K92" i="19"/>
  <c r="W245" i="19"/>
  <c r="W45" i="19"/>
  <c r="T95" i="19"/>
  <c r="W95" i="19"/>
  <c r="T145" i="19"/>
  <c r="W195" i="19"/>
  <c r="T245" i="19"/>
  <c r="T45" i="19"/>
  <c r="N245" i="19"/>
  <c r="Q145" i="19"/>
  <c r="Q45" i="19"/>
  <c r="N95" i="19"/>
  <c r="Q195" i="19"/>
  <c r="W145" i="19"/>
  <c r="T195" i="19"/>
  <c r="Q95" i="19"/>
  <c r="N145" i="19"/>
  <c r="Q245" i="19"/>
  <c r="K95" i="19"/>
  <c r="N45" i="19"/>
  <c r="K245" i="19"/>
  <c r="K195" i="19"/>
  <c r="N195" i="19"/>
  <c r="K145" i="19"/>
  <c r="K45" i="19"/>
  <c r="W215" i="19"/>
  <c r="W15" i="19"/>
  <c r="T65" i="19"/>
  <c r="W65" i="19"/>
  <c r="T115" i="19"/>
  <c r="N215" i="19"/>
  <c r="W115" i="19"/>
  <c r="T165" i="19"/>
  <c r="T15" i="19"/>
  <c r="Q15" i="19"/>
  <c r="N65" i="19"/>
  <c r="Q65" i="19"/>
  <c r="N115" i="19"/>
  <c r="Q165" i="19"/>
  <c r="K65" i="19"/>
  <c r="N15" i="19"/>
  <c r="K215" i="19"/>
  <c r="W165" i="19"/>
  <c r="Q215" i="19"/>
  <c r="K165" i="19"/>
  <c r="T215" i="19"/>
  <c r="Q115" i="19"/>
  <c r="N165" i="19"/>
  <c r="K115" i="19"/>
  <c r="X216" i="19"/>
  <c r="X16" i="19"/>
  <c r="U66" i="19"/>
  <c r="X66" i="19"/>
  <c r="U116" i="19"/>
  <c r="R166" i="19"/>
  <c r="X116" i="19"/>
  <c r="U166" i="19"/>
  <c r="X166" i="19"/>
  <c r="U216" i="19"/>
  <c r="U16" i="19"/>
  <c r="R16" i="19"/>
  <c r="R66" i="19"/>
  <c r="R216" i="19"/>
  <c r="R116" i="19"/>
  <c r="O166" i="19"/>
  <c r="O216" i="19"/>
  <c r="O16" i="19"/>
  <c r="L216" i="19"/>
  <c r="L166" i="19"/>
  <c r="L116" i="19"/>
  <c r="O66" i="19"/>
  <c r="O116" i="19"/>
  <c r="L66" i="19"/>
  <c r="X169" i="19"/>
  <c r="U219" i="19"/>
  <c r="U19" i="19"/>
  <c r="X219" i="19"/>
  <c r="X19" i="19"/>
  <c r="U69" i="19"/>
  <c r="X69" i="19"/>
  <c r="U119" i="19"/>
  <c r="X119" i="19"/>
  <c r="U169" i="19"/>
  <c r="O219" i="19"/>
  <c r="R19" i="19"/>
  <c r="R69" i="19"/>
  <c r="R169" i="19"/>
  <c r="R119" i="19"/>
  <c r="O169" i="19"/>
  <c r="L69" i="19"/>
  <c r="O69" i="19"/>
  <c r="R219" i="19"/>
  <c r="O119" i="19"/>
  <c r="O19" i="19"/>
  <c r="L219" i="19"/>
  <c r="L169" i="19"/>
  <c r="L119" i="19"/>
  <c r="W172" i="19"/>
  <c r="T222" i="19"/>
  <c r="T22" i="19"/>
  <c r="W222" i="19"/>
  <c r="W22" i="19"/>
  <c r="T72" i="19"/>
  <c r="W72" i="19"/>
  <c r="T122" i="19"/>
  <c r="Q122" i="19"/>
  <c r="N172" i="19"/>
  <c r="Q172" i="19"/>
  <c r="Q222" i="19"/>
  <c r="N222" i="19"/>
  <c r="Q22" i="19"/>
  <c r="W122" i="19"/>
  <c r="T172" i="19"/>
  <c r="K122" i="19"/>
  <c r="K72" i="19"/>
  <c r="N72" i="19"/>
  <c r="N22" i="19"/>
  <c r="K222" i="19"/>
  <c r="Q72" i="19"/>
  <c r="N122" i="19"/>
  <c r="K172" i="19"/>
  <c r="W84" i="19"/>
  <c r="T134" i="19"/>
  <c r="W134" i="19"/>
  <c r="T184" i="19"/>
  <c r="W184" i="19"/>
  <c r="T234" i="19"/>
  <c r="T34" i="19"/>
  <c r="Q184" i="19"/>
  <c r="Q134" i="19"/>
  <c r="Q234" i="19"/>
  <c r="Q34" i="19"/>
  <c r="Q84" i="19"/>
  <c r="N134" i="19"/>
  <c r="W234" i="19"/>
  <c r="W34" i="19"/>
  <c r="T84" i="19"/>
  <c r="N184" i="19"/>
  <c r="N234" i="19"/>
  <c r="N34" i="19"/>
  <c r="K234" i="19"/>
  <c r="K184" i="19"/>
  <c r="K134" i="19"/>
  <c r="N84" i="19"/>
  <c r="K84" i="19"/>
  <c r="X89" i="19"/>
  <c r="U139" i="19"/>
  <c r="X139" i="19"/>
  <c r="U189" i="19"/>
  <c r="R239" i="19"/>
  <c r="X189" i="19"/>
  <c r="U239" i="19"/>
  <c r="U39" i="19"/>
  <c r="X239" i="19"/>
  <c r="X39" i="19"/>
  <c r="U89" i="19"/>
  <c r="R89" i="19"/>
  <c r="O139" i="19"/>
  <c r="O239" i="19"/>
  <c r="R139" i="19"/>
  <c r="R189" i="19"/>
  <c r="R39" i="19"/>
  <c r="O89" i="19"/>
  <c r="L189" i="19"/>
  <c r="O189" i="19"/>
  <c r="L139" i="19"/>
  <c r="L89" i="19"/>
  <c r="O39" i="19"/>
  <c r="L239" i="19"/>
  <c r="L39" i="19"/>
  <c r="X191" i="19"/>
  <c r="U241" i="19"/>
  <c r="U41" i="19"/>
  <c r="X241" i="19"/>
  <c r="X41" i="19"/>
  <c r="U91" i="19"/>
  <c r="R141" i="19"/>
  <c r="X91" i="19"/>
  <c r="U141" i="19"/>
  <c r="X141" i="19"/>
  <c r="U191" i="19"/>
  <c r="O241" i="19"/>
  <c r="R191" i="19"/>
  <c r="R41" i="19"/>
  <c r="R241" i="19"/>
  <c r="R91" i="19"/>
  <c r="O141" i="19"/>
  <c r="O191" i="19"/>
  <c r="L91" i="19"/>
  <c r="O41" i="19"/>
  <c r="L241" i="19"/>
  <c r="O91" i="19"/>
  <c r="L191" i="19"/>
  <c r="L41" i="19"/>
  <c r="L141" i="19"/>
  <c r="W70" i="19"/>
  <c r="T120" i="19"/>
  <c r="W120" i="19"/>
  <c r="T170" i="19"/>
  <c r="Q20" i="19"/>
  <c r="W170" i="19"/>
  <c r="T220" i="19"/>
  <c r="T20" i="19"/>
  <c r="Q70" i="19"/>
  <c r="N120" i="19"/>
  <c r="Q170" i="19"/>
  <c r="Q120" i="19"/>
  <c r="N170" i="19"/>
  <c r="W220" i="19"/>
  <c r="W20" i="19"/>
  <c r="T70" i="19"/>
  <c r="Q220" i="19"/>
  <c r="N70" i="19"/>
  <c r="N20" i="19"/>
  <c r="K220" i="19"/>
  <c r="K170" i="19"/>
  <c r="K120" i="19"/>
  <c r="N220" i="19"/>
  <c r="K70" i="19"/>
  <c r="X122" i="19"/>
  <c r="U172" i="19"/>
  <c r="X172" i="19"/>
  <c r="U222" i="19"/>
  <c r="U22" i="19"/>
  <c r="X222" i="19"/>
  <c r="X22" i="19"/>
  <c r="U72" i="19"/>
  <c r="X72" i="19"/>
  <c r="U122" i="19"/>
  <c r="R122" i="19"/>
  <c r="O172" i="19"/>
  <c r="R172" i="19"/>
  <c r="R222" i="19"/>
  <c r="O222" i="19"/>
  <c r="R22" i="19"/>
  <c r="R72" i="19"/>
  <c r="O122" i="19"/>
  <c r="L122" i="19"/>
  <c r="L72" i="19"/>
  <c r="O72" i="19"/>
  <c r="O22" i="19"/>
  <c r="L222" i="19"/>
  <c r="L172" i="19"/>
  <c r="W79" i="19"/>
  <c r="T129" i="19"/>
  <c r="W129" i="19"/>
  <c r="T179" i="19"/>
  <c r="W229" i="19"/>
  <c r="W29" i="19"/>
  <c r="T79" i="19"/>
  <c r="Q229" i="19"/>
  <c r="Q29" i="19"/>
  <c r="Q79" i="19"/>
  <c r="N129" i="19"/>
  <c r="W179" i="19"/>
  <c r="T229" i="19"/>
  <c r="T29" i="19"/>
  <c r="N179" i="19"/>
  <c r="N29" i="19"/>
  <c r="K229" i="19"/>
  <c r="Q179" i="19"/>
  <c r="N229" i="19"/>
  <c r="K179" i="19"/>
  <c r="N79" i="19"/>
  <c r="K129" i="19"/>
  <c r="Q129" i="19"/>
  <c r="K79" i="19"/>
  <c r="W241" i="19"/>
  <c r="W41" i="19"/>
  <c r="T91" i="19"/>
  <c r="W91" i="19"/>
  <c r="T141" i="19"/>
  <c r="N241" i="19"/>
  <c r="W191" i="19"/>
  <c r="T241" i="19"/>
  <c r="T41" i="19"/>
  <c r="Q141" i="19"/>
  <c r="Q191" i="19"/>
  <c r="Q41" i="19"/>
  <c r="N91" i="19"/>
  <c r="Q241" i="19"/>
  <c r="Q91" i="19"/>
  <c r="N141" i="19"/>
  <c r="W141" i="19"/>
  <c r="N191" i="19"/>
  <c r="K91" i="19"/>
  <c r="T191" i="19"/>
  <c r="N41" i="19"/>
  <c r="K241" i="19"/>
  <c r="K41" i="19"/>
  <c r="K191" i="19"/>
  <c r="K141" i="19"/>
  <c r="X144" i="19"/>
  <c r="U194" i="19"/>
  <c r="X194" i="19"/>
  <c r="U244" i="19"/>
  <c r="U44" i="19"/>
  <c r="X244" i="19"/>
  <c r="X44" i="19"/>
  <c r="U94" i="19"/>
  <c r="X94" i="19"/>
  <c r="U144" i="19"/>
  <c r="O194" i="19"/>
  <c r="O244" i="19"/>
  <c r="R144" i="19"/>
  <c r="R44" i="19"/>
  <c r="R194" i="19"/>
  <c r="R94" i="19"/>
  <c r="O144" i="19"/>
  <c r="O94" i="19"/>
  <c r="L144" i="19"/>
  <c r="L44" i="19"/>
  <c r="L94" i="19"/>
  <c r="O44" i="19"/>
  <c r="L244" i="19"/>
  <c r="R244" i="19"/>
  <c r="L194" i="19"/>
  <c r="W164" i="19"/>
  <c r="T214" i="19"/>
  <c r="T14" i="19"/>
  <c r="W214" i="19"/>
  <c r="W14" i="19"/>
  <c r="T64" i="19"/>
  <c r="Q164" i="19"/>
  <c r="Q214" i="19"/>
  <c r="Q114" i="19"/>
  <c r="N164" i="19"/>
  <c r="W114" i="19"/>
  <c r="T164" i="19"/>
  <c r="N214" i="19"/>
  <c r="Q14" i="19"/>
  <c r="W64" i="19"/>
  <c r="T114" i="19"/>
  <c r="N114" i="19"/>
  <c r="Q64" i="19"/>
  <c r="N64" i="19"/>
  <c r="K114" i="19"/>
  <c r="K64" i="19"/>
  <c r="N14" i="19"/>
  <c r="K214" i="19"/>
  <c r="K164" i="19"/>
  <c r="X165" i="19"/>
  <c r="U215" i="19"/>
  <c r="X215" i="19"/>
  <c r="X15" i="19"/>
  <c r="U65" i="19"/>
  <c r="X65" i="19"/>
  <c r="U115" i="19"/>
  <c r="X115" i="19"/>
  <c r="U165" i="19"/>
  <c r="O215" i="19"/>
  <c r="U15" i="19"/>
  <c r="R15" i="19"/>
  <c r="R65" i="19"/>
  <c r="R165" i="19"/>
  <c r="R215" i="19"/>
  <c r="R115" i="19"/>
  <c r="O165" i="19"/>
  <c r="L65" i="19"/>
  <c r="O15" i="19"/>
  <c r="L215" i="19"/>
  <c r="L165" i="19"/>
  <c r="L115" i="19"/>
  <c r="O115" i="19"/>
  <c r="O65" i="19"/>
  <c r="W113" i="19"/>
  <c r="T163" i="19"/>
  <c r="W163" i="19"/>
  <c r="T213" i="19"/>
  <c r="Q63" i="19"/>
  <c r="Q213" i="19"/>
  <c r="Q163" i="19"/>
  <c r="W213" i="19"/>
  <c r="W13" i="19"/>
  <c r="T63" i="19"/>
  <c r="Q113" i="19"/>
  <c r="N163" i="19"/>
  <c r="T13" i="19"/>
  <c r="N213" i="19"/>
  <c r="N113" i="19"/>
  <c r="K163" i="19"/>
  <c r="W63" i="19"/>
  <c r="N63" i="19"/>
  <c r="K113" i="19"/>
  <c r="T113" i="19"/>
  <c r="K63" i="19"/>
  <c r="Q13" i="19"/>
  <c r="N13" i="19"/>
  <c r="K213" i="19"/>
  <c r="X114" i="19"/>
  <c r="U164" i="19"/>
  <c r="X164" i="19"/>
  <c r="U214" i="19"/>
  <c r="U14" i="19"/>
  <c r="X214" i="19"/>
  <c r="X14" i="19"/>
  <c r="U64" i="19"/>
  <c r="X64" i="19"/>
  <c r="U114" i="19"/>
  <c r="R214" i="19"/>
  <c r="R114" i="19"/>
  <c r="O164" i="19"/>
  <c r="O214" i="19"/>
  <c r="R14" i="19"/>
  <c r="R64" i="19"/>
  <c r="O114" i="19"/>
  <c r="O64" i="19"/>
  <c r="L114" i="19"/>
  <c r="R164" i="19"/>
  <c r="L64" i="19"/>
  <c r="O14" i="19"/>
  <c r="L214" i="19"/>
  <c r="L164" i="19"/>
  <c r="W117" i="19"/>
  <c r="T167" i="19"/>
  <c r="W167" i="19"/>
  <c r="T217" i="19"/>
  <c r="W217" i="19"/>
  <c r="W17" i="19"/>
  <c r="T67" i="19"/>
  <c r="Q67" i="19"/>
  <c r="Q217" i="19"/>
  <c r="Q167" i="19"/>
  <c r="Q117" i="19"/>
  <c r="N167" i="19"/>
  <c r="W67" i="19"/>
  <c r="T117" i="19"/>
  <c r="N217" i="19"/>
  <c r="T17" i="19"/>
  <c r="K167" i="19"/>
  <c r="K117" i="19"/>
  <c r="N67" i="19"/>
  <c r="N117" i="19"/>
  <c r="K67" i="19"/>
  <c r="Q17" i="19"/>
  <c r="N17" i="19"/>
  <c r="K217" i="19"/>
  <c r="X220" i="19"/>
  <c r="X20" i="19"/>
  <c r="U70" i="19"/>
  <c r="X70" i="19"/>
  <c r="U120" i="19"/>
  <c r="R170" i="19"/>
  <c r="X120" i="19"/>
  <c r="U170" i="19"/>
  <c r="X170" i="19"/>
  <c r="U220" i="19"/>
  <c r="U20" i="19"/>
  <c r="R20" i="19"/>
  <c r="R70" i="19"/>
  <c r="R120" i="19"/>
  <c r="O170" i="19"/>
  <c r="R220" i="19"/>
  <c r="O220" i="19"/>
  <c r="O20" i="19"/>
  <c r="L220" i="19"/>
  <c r="O120" i="19"/>
  <c r="L170" i="19"/>
  <c r="L120" i="19"/>
  <c r="L70" i="19"/>
  <c r="O70" i="19"/>
  <c r="X234" i="19"/>
  <c r="X34" i="19"/>
  <c r="U84" i="19"/>
  <c r="X84" i="19"/>
  <c r="U134" i="19"/>
  <c r="R184" i="19"/>
  <c r="X134" i="19"/>
  <c r="U184" i="19"/>
  <c r="X184" i="19"/>
  <c r="U234" i="19"/>
  <c r="U34" i="19"/>
  <c r="R234" i="19"/>
  <c r="R34" i="19"/>
  <c r="R84" i="19"/>
  <c r="O184" i="19"/>
  <c r="O234" i="19"/>
  <c r="O34" i="19"/>
  <c r="L234" i="19"/>
  <c r="L184" i="19"/>
  <c r="R134" i="19"/>
  <c r="L134" i="19"/>
  <c r="O134" i="19"/>
  <c r="O84" i="19"/>
  <c r="L84" i="19"/>
  <c r="X93" i="19"/>
  <c r="U143" i="19"/>
  <c r="X143" i="19"/>
  <c r="U193" i="19"/>
  <c r="R243" i="19"/>
  <c r="X193" i="19"/>
  <c r="U243" i="19"/>
  <c r="U43" i="19"/>
  <c r="X243" i="19"/>
  <c r="X43" i="19"/>
  <c r="U93" i="19"/>
  <c r="R93" i="19"/>
  <c r="O143" i="19"/>
  <c r="O243" i="19"/>
  <c r="R143" i="19"/>
  <c r="R43" i="19"/>
  <c r="O93" i="19"/>
  <c r="O193" i="19"/>
  <c r="L193" i="19"/>
  <c r="R193" i="19"/>
  <c r="L143" i="19"/>
  <c r="L43" i="19"/>
  <c r="L93" i="19"/>
  <c r="O43" i="19"/>
  <c r="L243" i="19"/>
  <c r="W96" i="19"/>
  <c r="W246" i="19"/>
  <c r="W46" i="19"/>
  <c r="W196" i="19"/>
  <c r="T246" i="19"/>
  <c r="W146" i="19"/>
  <c r="T196" i="19"/>
  <c r="T146" i="19"/>
  <c r="Q196" i="19"/>
  <c r="N246" i="19"/>
  <c r="T96" i="19"/>
  <c r="Q146" i="19"/>
  <c r="N196" i="19"/>
  <c r="T46" i="19"/>
  <c r="Q96" i="19"/>
  <c r="N146" i="19"/>
  <c r="K146" i="19"/>
  <c r="N96" i="19"/>
  <c r="K196" i="19"/>
  <c r="Q46" i="19"/>
  <c r="Q246" i="19"/>
  <c r="K96" i="19"/>
  <c r="K46" i="19"/>
  <c r="N46" i="19"/>
  <c r="K246" i="19"/>
  <c r="X246" i="19"/>
  <c r="X46" i="19"/>
  <c r="X196" i="19"/>
  <c r="U246" i="19"/>
  <c r="X146" i="19"/>
  <c r="U196" i="19"/>
  <c r="X96" i="19"/>
  <c r="U96" i="19"/>
  <c r="R146" i="19"/>
  <c r="O196" i="19"/>
  <c r="U46" i="19"/>
  <c r="R96" i="19"/>
  <c r="O146" i="19"/>
  <c r="U146" i="19"/>
  <c r="R196" i="19"/>
  <c r="O246" i="19"/>
  <c r="O96" i="19"/>
  <c r="L196" i="19"/>
  <c r="O46" i="19"/>
  <c r="L246" i="19"/>
  <c r="R246" i="19"/>
  <c r="L96" i="19"/>
  <c r="L46" i="19"/>
  <c r="R46" i="19"/>
  <c r="L146" i="19"/>
  <c r="L13" i="19"/>
  <c r="K14" i="19"/>
  <c r="L15" i="19"/>
  <c r="K16" i="19"/>
  <c r="L17" i="19"/>
  <c r="K19" i="19"/>
  <c r="K20" i="19"/>
  <c r="L22" i="19"/>
  <c r="K28" i="19"/>
  <c r="K29" i="19"/>
  <c r="L29" i="19"/>
  <c r="K35" i="19"/>
  <c r="K13" i="19"/>
  <c r="L14" i="19"/>
  <c r="K15" i="19"/>
  <c r="L16" i="19"/>
  <c r="K17" i="19"/>
  <c r="L19" i="19"/>
  <c r="L20" i="19"/>
  <c r="K22" i="19"/>
  <c r="L28" i="19"/>
  <c r="K34" i="19"/>
  <c r="L34" i="19"/>
  <c r="L35" i="19"/>
  <c r="AC83" i="1"/>
  <c r="AB83" i="1"/>
  <c r="AC84" i="1"/>
  <c r="AF29" i="1"/>
  <c r="AF93" i="1"/>
  <c r="AF113" i="1"/>
  <c r="AF26" i="1"/>
  <c r="AF38" i="1"/>
  <c r="AF47" i="1"/>
  <c r="AF77" i="1"/>
  <c r="AF95" i="1"/>
  <c r="AF104" i="1"/>
  <c r="AF110" i="1"/>
  <c r="AF120" i="1"/>
  <c r="AF33" i="1"/>
  <c r="AF30" i="1"/>
  <c r="AF92" i="1"/>
  <c r="AF96" i="1"/>
  <c r="AF105" i="1"/>
  <c r="AF117" i="1"/>
  <c r="AF111" i="1"/>
  <c r="AF35" i="1"/>
  <c r="AF39" i="1"/>
  <c r="AF48" i="1"/>
  <c r="AF53" i="1"/>
  <c r="AF125" i="1"/>
  <c r="AF122" i="1"/>
  <c r="AF27" i="1"/>
  <c r="AF32" i="1"/>
  <c r="AF36" i="1"/>
  <c r="AF44" i="1"/>
  <c r="AF54" i="1"/>
  <c r="AF78" i="1"/>
  <c r="AF126" i="1"/>
  <c r="AF114" i="1"/>
  <c r="AF116" i="1"/>
  <c r="AF119" i="1"/>
  <c r="AF45" i="1"/>
  <c r="AA49" i="1"/>
  <c r="AA50" i="1" s="1"/>
  <c r="AA58" i="1"/>
  <c r="AA59" i="1" s="1"/>
  <c r="AA61" i="1"/>
  <c r="AA62" i="1" s="1"/>
  <c r="AA64" i="1"/>
  <c r="AA67" i="1"/>
  <c r="AA79" i="1"/>
  <c r="AA80" i="1" s="1"/>
  <c r="AA88" i="1"/>
  <c r="AA89" i="1" s="1"/>
  <c r="AA106" i="1"/>
  <c r="AA107" i="1" s="1"/>
  <c r="AA108" i="1" l="1"/>
  <c r="AC107" i="1"/>
  <c r="AB107" i="1"/>
  <c r="AA63" i="1"/>
  <c r="AB62" i="1"/>
  <c r="AC62" i="1"/>
  <c r="AA51" i="1"/>
  <c r="AC50" i="1"/>
  <c r="AB50" i="1"/>
  <c r="AA90" i="1"/>
  <c r="AB89" i="1"/>
  <c r="AC89" i="1"/>
  <c r="AA81" i="1"/>
  <c r="AB80" i="1"/>
  <c r="AC80" i="1"/>
  <c r="AA60" i="1"/>
  <c r="AB59" i="1"/>
  <c r="AC59" i="1"/>
  <c r="AC88" i="1"/>
  <c r="AB88" i="1"/>
  <c r="AC58" i="1"/>
  <c r="AB58" i="1"/>
  <c r="AC61" i="1"/>
  <c r="AB61" i="1"/>
  <c r="AC82" i="1"/>
  <c r="AB82" i="1"/>
  <c r="AC67" i="1"/>
  <c r="AB67" i="1"/>
  <c r="AC91" i="1"/>
  <c r="AB91" i="1"/>
  <c r="AC49" i="1"/>
  <c r="AB49" i="1"/>
  <c r="AC106" i="1"/>
  <c r="AB106" i="1"/>
  <c r="AC79" i="1"/>
  <c r="AB79" i="1"/>
  <c r="AC64" i="1"/>
  <c r="AB64" i="1"/>
  <c r="AA97" i="1"/>
  <c r="AA55" i="1"/>
  <c r="AA56" i="1" s="1"/>
  <c r="AA19" i="1"/>
  <c r="AA20" i="1" s="1"/>
  <c r="AA16" i="1"/>
  <c r="AA17" i="1" s="1"/>
  <c r="W7" i="1"/>
  <c r="K7" i="1"/>
  <c r="W130" i="19" l="1"/>
  <c r="T180" i="19"/>
  <c r="W180" i="19"/>
  <c r="T230" i="19"/>
  <c r="T30" i="19"/>
  <c r="Q80" i="19"/>
  <c r="N130" i="19"/>
  <c r="N180" i="19"/>
  <c r="W80" i="19"/>
  <c r="T130" i="19"/>
  <c r="Q130" i="19"/>
  <c r="N230" i="19"/>
  <c r="Q230" i="19"/>
  <c r="Q180" i="19"/>
  <c r="K180" i="19"/>
  <c r="W230" i="19"/>
  <c r="N80" i="19"/>
  <c r="K130" i="19"/>
  <c r="W30" i="19"/>
  <c r="K80" i="19"/>
  <c r="T80" i="19"/>
  <c r="Q30" i="19"/>
  <c r="N30" i="19"/>
  <c r="K230" i="19"/>
  <c r="W125" i="19"/>
  <c r="T175" i="19"/>
  <c r="W175" i="19"/>
  <c r="T225" i="19"/>
  <c r="T25" i="19"/>
  <c r="W75" i="19"/>
  <c r="T125" i="19"/>
  <c r="Q75" i="19"/>
  <c r="N125" i="19"/>
  <c r="W225" i="19"/>
  <c r="W25" i="19"/>
  <c r="T75" i="19"/>
  <c r="N175" i="19"/>
  <c r="Q125" i="19"/>
  <c r="Q225" i="19"/>
  <c r="Q175" i="19"/>
  <c r="N225" i="19"/>
  <c r="N75" i="19"/>
  <c r="K175" i="19"/>
  <c r="Q25" i="19"/>
  <c r="K125" i="19"/>
  <c r="K75" i="19"/>
  <c r="N25" i="19"/>
  <c r="K225" i="19"/>
  <c r="W233" i="19"/>
  <c r="W33" i="19"/>
  <c r="T83" i="19"/>
  <c r="W83" i="19"/>
  <c r="T133" i="19"/>
  <c r="W183" i="19"/>
  <c r="T233" i="19"/>
  <c r="T33" i="19"/>
  <c r="Q133" i="19"/>
  <c r="N233" i="19"/>
  <c r="Q183" i="19"/>
  <c r="Q233" i="19"/>
  <c r="Q33" i="19"/>
  <c r="N83" i="19"/>
  <c r="Q83" i="19"/>
  <c r="N133" i="19"/>
  <c r="N183" i="19"/>
  <c r="K83" i="19"/>
  <c r="N33" i="19"/>
  <c r="K233" i="19"/>
  <c r="W133" i="19"/>
  <c r="K183" i="19"/>
  <c r="T183" i="19"/>
  <c r="K133" i="19"/>
  <c r="W190" i="19"/>
  <c r="T240" i="19"/>
  <c r="T40" i="19"/>
  <c r="W240" i="19"/>
  <c r="W40" i="19"/>
  <c r="T90" i="19"/>
  <c r="W140" i="19"/>
  <c r="T190" i="19"/>
  <c r="N190" i="19"/>
  <c r="W90" i="19"/>
  <c r="T140" i="19"/>
  <c r="N240" i="19"/>
  <c r="Q140" i="19"/>
  <c r="Q190" i="19"/>
  <c r="Q40" i="19"/>
  <c r="N90" i="19"/>
  <c r="K140" i="19"/>
  <c r="K90" i="19"/>
  <c r="Q90" i="19"/>
  <c r="K40" i="19"/>
  <c r="N40" i="19"/>
  <c r="K240" i="19"/>
  <c r="Q240" i="19"/>
  <c r="N140" i="19"/>
  <c r="K190" i="19"/>
  <c r="W74" i="19"/>
  <c r="T124" i="19"/>
  <c r="W124" i="19"/>
  <c r="T174" i="19"/>
  <c r="W174" i="19"/>
  <c r="T224" i="19"/>
  <c r="T24" i="19"/>
  <c r="Q24" i="19"/>
  <c r="Q74" i="19"/>
  <c r="N124" i="19"/>
  <c r="W224" i="19"/>
  <c r="W24" i="19"/>
  <c r="T74" i="19"/>
  <c r="N174" i="19"/>
  <c r="Q174" i="19"/>
  <c r="Q124" i="19"/>
  <c r="Q224" i="19"/>
  <c r="N24" i="19"/>
  <c r="K224" i="19"/>
  <c r="N74" i="19"/>
  <c r="K174" i="19"/>
  <c r="K124" i="19"/>
  <c r="N224" i="19"/>
  <c r="K74" i="19"/>
  <c r="W121" i="19"/>
  <c r="T171" i="19"/>
  <c r="W171" i="19"/>
  <c r="T221" i="19"/>
  <c r="T21" i="19"/>
  <c r="Q71" i="19"/>
  <c r="W71" i="19"/>
  <c r="T121" i="19"/>
  <c r="Q121" i="19"/>
  <c r="N171" i="19"/>
  <c r="Q221" i="19"/>
  <c r="Q171" i="19"/>
  <c r="W221" i="19"/>
  <c r="W21" i="19"/>
  <c r="T71" i="19"/>
  <c r="N221" i="19"/>
  <c r="N121" i="19"/>
  <c r="K171" i="19"/>
  <c r="Q21" i="19"/>
  <c r="K121" i="19"/>
  <c r="K71" i="19"/>
  <c r="N71" i="19"/>
  <c r="N21" i="19"/>
  <c r="K221" i="19"/>
  <c r="T226" i="19"/>
  <c r="Q76" i="19"/>
  <c r="W126" i="19"/>
  <c r="W26" i="19"/>
  <c r="Q126" i="19"/>
  <c r="Q176" i="19"/>
  <c r="N26" i="19"/>
  <c r="N76" i="19"/>
  <c r="W176" i="19"/>
  <c r="T26" i="19"/>
  <c r="N126" i="19"/>
  <c r="W226" i="19"/>
  <c r="T76" i="19"/>
  <c r="N176" i="19"/>
  <c r="T126" i="19"/>
  <c r="N226" i="19"/>
  <c r="K226" i="19"/>
  <c r="W76" i="19"/>
  <c r="T176" i="19"/>
  <c r="Q26" i="19"/>
  <c r="K176" i="19"/>
  <c r="K126" i="19"/>
  <c r="K76" i="19"/>
  <c r="Q226" i="19"/>
  <c r="K33" i="19"/>
  <c r="K21" i="19"/>
  <c r="K25" i="19"/>
  <c r="K30" i="19"/>
  <c r="K24" i="19"/>
  <c r="K27" i="19"/>
  <c r="K26" i="19"/>
  <c r="AF89" i="1"/>
  <c r="AA18" i="1"/>
  <c r="AC17" i="1"/>
  <c r="AB17" i="1"/>
  <c r="AF80" i="1"/>
  <c r="AC90" i="1"/>
  <c r="AB90" i="1"/>
  <c r="AF50" i="1"/>
  <c r="AF62" i="1"/>
  <c r="AB108" i="1"/>
  <c r="AC108" i="1"/>
  <c r="AA21" i="1"/>
  <c r="AB20" i="1"/>
  <c r="AC20" i="1"/>
  <c r="AF59" i="1"/>
  <c r="AB81" i="1"/>
  <c r="AC81" i="1"/>
  <c r="AB63" i="1"/>
  <c r="AC63" i="1"/>
  <c r="AA57" i="1"/>
  <c r="AB56" i="1"/>
  <c r="AC56" i="1"/>
  <c r="AC60" i="1"/>
  <c r="AB60" i="1"/>
  <c r="AB51" i="1"/>
  <c r="AC51" i="1"/>
  <c r="AF107" i="1"/>
  <c r="AC19" i="1"/>
  <c r="AB19" i="1"/>
  <c r="AC55" i="1"/>
  <c r="AB55" i="1"/>
  <c r="AC16" i="1"/>
  <c r="AB16" i="1"/>
  <c r="AC97" i="1"/>
  <c r="AB97" i="1"/>
  <c r="L7" i="1"/>
  <c r="AA8" i="1" s="1"/>
  <c r="AA9" i="1" s="1"/>
  <c r="AA22" i="1"/>
  <c r="AA23" i="1" s="1"/>
  <c r="B221" i="13" a="1"/>
  <c r="X75" i="19" l="1"/>
  <c r="U125" i="19"/>
  <c r="X125" i="19"/>
  <c r="U175" i="19"/>
  <c r="R225" i="19"/>
  <c r="X175" i="19"/>
  <c r="U225" i="19"/>
  <c r="U25" i="19"/>
  <c r="X225" i="19"/>
  <c r="X25" i="19"/>
  <c r="U75" i="19"/>
  <c r="R75" i="19"/>
  <c r="O125" i="19"/>
  <c r="R125" i="19"/>
  <c r="R175" i="19"/>
  <c r="O225" i="19"/>
  <c r="R25" i="19"/>
  <c r="O75" i="19"/>
  <c r="O175" i="19"/>
  <c r="L175" i="19"/>
  <c r="L125" i="19"/>
  <c r="L75" i="19"/>
  <c r="O25" i="19"/>
  <c r="L225" i="19"/>
  <c r="X224" i="19"/>
  <c r="X24" i="19"/>
  <c r="U74" i="19"/>
  <c r="X74" i="19"/>
  <c r="U124" i="19"/>
  <c r="R174" i="19"/>
  <c r="X124" i="19"/>
  <c r="U174" i="19"/>
  <c r="X174" i="19"/>
  <c r="U224" i="19"/>
  <c r="U24" i="19"/>
  <c r="R24" i="19"/>
  <c r="R74" i="19"/>
  <c r="O174" i="19"/>
  <c r="R124" i="19"/>
  <c r="R224" i="19"/>
  <c r="O224" i="19"/>
  <c r="O24" i="19"/>
  <c r="L224" i="19"/>
  <c r="O74" i="19"/>
  <c r="L174" i="19"/>
  <c r="L124" i="19"/>
  <c r="O124" i="19"/>
  <c r="L74" i="19"/>
  <c r="X80" i="19"/>
  <c r="U130" i="19"/>
  <c r="X130" i="19"/>
  <c r="U180" i="19"/>
  <c r="R230" i="19"/>
  <c r="X180" i="19"/>
  <c r="U230" i="19"/>
  <c r="U30" i="19"/>
  <c r="X230" i="19"/>
  <c r="X30" i="19"/>
  <c r="U80" i="19"/>
  <c r="R80" i="19"/>
  <c r="O130" i="19"/>
  <c r="R130" i="19"/>
  <c r="O230" i="19"/>
  <c r="R180" i="19"/>
  <c r="R30" i="19"/>
  <c r="O80" i="19"/>
  <c r="L180" i="19"/>
  <c r="L130" i="19"/>
  <c r="O180" i="19"/>
  <c r="L80" i="19"/>
  <c r="O30" i="19"/>
  <c r="L230" i="19"/>
  <c r="X183" i="19"/>
  <c r="U233" i="19"/>
  <c r="U33" i="19"/>
  <c r="X233" i="19"/>
  <c r="X33" i="19"/>
  <c r="U83" i="19"/>
  <c r="R133" i="19"/>
  <c r="X83" i="19"/>
  <c r="U133" i="19"/>
  <c r="X133" i="19"/>
  <c r="U183" i="19"/>
  <c r="O233" i="19"/>
  <c r="R183" i="19"/>
  <c r="R233" i="19"/>
  <c r="R33" i="19"/>
  <c r="R83" i="19"/>
  <c r="O183" i="19"/>
  <c r="L83" i="19"/>
  <c r="O33" i="19"/>
  <c r="L233" i="19"/>
  <c r="L183" i="19"/>
  <c r="O133" i="19"/>
  <c r="L133" i="19"/>
  <c r="O83" i="19"/>
  <c r="W186" i="19"/>
  <c r="T236" i="19"/>
  <c r="T36" i="19"/>
  <c r="W236" i="19"/>
  <c r="W36" i="19"/>
  <c r="T86" i="19"/>
  <c r="W86" i="19"/>
  <c r="T136" i="19"/>
  <c r="N186" i="19"/>
  <c r="N236" i="19"/>
  <c r="Q136" i="19"/>
  <c r="Q186" i="19"/>
  <c r="Q36" i="19"/>
  <c r="W136" i="19"/>
  <c r="T186" i="19"/>
  <c r="Q236" i="19"/>
  <c r="Q86" i="19"/>
  <c r="K136" i="19"/>
  <c r="N86" i="19"/>
  <c r="K86" i="19"/>
  <c r="N136" i="19"/>
  <c r="N36" i="19"/>
  <c r="K236" i="19"/>
  <c r="K186" i="19"/>
  <c r="W160" i="19"/>
  <c r="T210" i="19"/>
  <c r="W210" i="19"/>
  <c r="W10" i="19"/>
  <c r="T60" i="19"/>
  <c r="W60" i="19"/>
  <c r="T110" i="19"/>
  <c r="Q210" i="19"/>
  <c r="Q110" i="19"/>
  <c r="N160" i="19"/>
  <c r="T10" i="19"/>
  <c r="N210" i="19"/>
  <c r="W110" i="19"/>
  <c r="T160" i="19"/>
  <c r="Q10" i="19"/>
  <c r="K110" i="19"/>
  <c r="Q60" i="19"/>
  <c r="Q160" i="19"/>
  <c r="K60" i="19"/>
  <c r="N110" i="19"/>
  <c r="N10" i="19"/>
  <c r="K210" i="19"/>
  <c r="N60" i="19"/>
  <c r="K160" i="19"/>
  <c r="X140" i="19"/>
  <c r="U190" i="19"/>
  <c r="X190" i="19"/>
  <c r="U240" i="19"/>
  <c r="U40" i="19"/>
  <c r="X240" i="19"/>
  <c r="X40" i="19"/>
  <c r="U90" i="19"/>
  <c r="X90" i="19"/>
  <c r="U140" i="19"/>
  <c r="O190" i="19"/>
  <c r="O240" i="19"/>
  <c r="R140" i="19"/>
  <c r="R190" i="19"/>
  <c r="R40" i="19"/>
  <c r="R240" i="19"/>
  <c r="R90" i="19"/>
  <c r="O140" i="19"/>
  <c r="L140" i="19"/>
  <c r="L90" i="19"/>
  <c r="O40" i="19"/>
  <c r="L240" i="19"/>
  <c r="O90" i="19"/>
  <c r="L40" i="19"/>
  <c r="L190" i="19"/>
  <c r="X71" i="19"/>
  <c r="U121" i="19"/>
  <c r="X121" i="19"/>
  <c r="U171" i="19"/>
  <c r="R221" i="19"/>
  <c r="X171" i="19"/>
  <c r="U221" i="19"/>
  <c r="U21" i="19"/>
  <c r="X221" i="19"/>
  <c r="X21" i="19"/>
  <c r="U71" i="19"/>
  <c r="R71" i="19"/>
  <c r="O121" i="19"/>
  <c r="R121" i="19"/>
  <c r="R171" i="19"/>
  <c r="O221" i="19"/>
  <c r="R21" i="19"/>
  <c r="O71" i="19"/>
  <c r="L171" i="19"/>
  <c r="O171" i="19"/>
  <c r="L121" i="19"/>
  <c r="L71" i="19"/>
  <c r="O21" i="19"/>
  <c r="L221" i="19"/>
  <c r="W223" i="19"/>
  <c r="W23" i="19"/>
  <c r="T73" i="19"/>
  <c r="W73" i="19"/>
  <c r="T123" i="19"/>
  <c r="Q173" i="19"/>
  <c r="W173" i="19"/>
  <c r="T223" i="19"/>
  <c r="T23" i="19"/>
  <c r="Q223" i="19"/>
  <c r="N223" i="19"/>
  <c r="Q23" i="19"/>
  <c r="N73" i="19"/>
  <c r="W123" i="19"/>
  <c r="T173" i="19"/>
  <c r="Q73" i="19"/>
  <c r="N123" i="19"/>
  <c r="N173" i="19"/>
  <c r="K73" i="19"/>
  <c r="Q123" i="19"/>
  <c r="N23" i="19"/>
  <c r="K223" i="19"/>
  <c r="K173" i="19"/>
  <c r="K123" i="19"/>
  <c r="W211" i="19"/>
  <c r="W11" i="19"/>
  <c r="T61" i="19"/>
  <c r="W61" i="19"/>
  <c r="T111" i="19"/>
  <c r="W161" i="19"/>
  <c r="T211" i="19"/>
  <c r="T11" i="19"/>
  <c r="N211" i="19"/>
  <c r="Q11" i="19"/>
  <c r="N61" i="19"/>
  <c r="W111" i="19"/>
  <c r="T161" i="19"/>
  <c r="Q161" i="19"/>
  <c r="Q61" i="19"/>
  <c r="N111" i="19"/>
  <c r="Q211" i="19"/>
  <c r="N161" i="19"/>
  <c r="K61" i="19"/>
  <c r="N11" i="19"/>
  <c r="K211" i="19"/>
  <c r="K161" i="19"/>
  <c r="Q111" i="19"/>
  <c r="K111" i="19"/>
  <c r="W237" i="19"/>
  <c r="W37" i="19"/>
  <c r="T87" i="19"/>
  <c r="W87" i="19"/>
  <c r="T137" i="19"/>
  <c r="N237" i="19"/>
  <c r="Q137" i="19"/>
  <c r="Q187" i="19"/>
  <c r="Q37" i="19"/>
  <c r="N87" i="19"/>
  <c r="W137" i="19"/>
  <c r="T187" i="19"/>
  <c r="Q237" i="19"/>
  <c r="Q87" i="19"/>
  <c r="N137" i="19"/>
  <c r="W187" i="19"/>
  <c r="T237" i="19"/>
  <c r="T37" i="19"/>
  <c r="K87" i="19"/>
  <c r="N37" i="19"/>
  <c r="K237" i="19"/>
  <c r="K187" i="19"/>
  <c r="N187" i="19"/>
  <c r="K137" i="19"/>
  <c r="U177" i="19"/>
  <c r="R27" i="19"/>
  <c r="L177" i="19"/>
  <c r="U227" i="19"/>
  <c r="R77" i="19"/>
  <c r="L127" i="19"/>
  <c r="O77" i="19"/>
  <c r="X27" i="19"/>
  <c r="R127" i="19"/>
  <c r="L77" i="19"/>
  <c r="X127" i="19"/>
  <c r="U27" i="19"/>
  <c r="X77" i="19"/>
  <c r="R177" i="19"/>
  <c r="O27" i="19"/>
  <c r="R227" i="19"/>
  <c r="X177" i="19"/>
  <c r="X227" i="19"/>
  <c r="U77" i="19"/>
  <c r="O177" i="19"/>
  <c r="O127" i="19"/>
  <c r="U127" i="19"/>
  <c r="O227" i="19"/>
  <c r="L227" i="19"/>
  <c r="L21" i="19"/>
  <c r="L25" i="19"/>
  <c r="K23" i="19"/>
  <c r="K11" i="19"/>
  <c r="L27" i="19"/>
  <c r="K36" i="19"/>
  <c r="L24" i="19"/>
  <c r="L30" i="19"/>
  <c r="K10" i="19"/>
  <c r="L33" i="19"/>
  <c r="K37" i="19"/>
  <c r="AF60" i="1"/>
  <c r="AB57" i="1"/>
  <c r="AC57" i="1"/>
  <c r="AF81" i="1"/>
  <c r="AF20" i="1"/>
  <c r="AF90" i="1"/>
  <c r="AF17" i="1"/>
  <c r="AF51" i="1"/>
  <c r="AB21" i="1"/>
  <c r="AC21" i="1"/>
  <c r="AA24" i="1"/>
  <c r="AC23" i="1"/>
  <c r="AB23" i="1"/>
  <c r="AF63" i="1"/>
  <c r="AB18" i="1"/>
  <c r="AC18" i="1"/>
  <c r="AF56" i="1"/>
  <c r="AF108" i="1"/>
  <c r="AC22" i="1"/>
  <c r="AB22" i="1"/>
  <c r="AA7" i="1"/>
  <c r="B221" i="13"/>
  <c r="X173" i="19" l="1"/>
  <c r="U223" i="19"/>
  <c r="U23" i="19"/>
  <c r="X223" i="19"/>
  <c r="X23" i="19"/>
  <c r="U73" i="19"/>
  <c r="R123" i="19"/>
  <c r="X73" i="19"/>
  <c r="U123" i="19"/>
  <c r="X123" i="19"/>
  <c r="U173" i="19"/>
  <c r="R223" i="19"/>
  <c r="O223" i="19"/>
  <c r="R23" i="19"/>
  <c r="R73" i="19"/>
  <c r="O173" i="19"/>
  <c r="L73" i="19"/>
  <c r="O23" i="19"/>
  <c r="L223" i="19"/>
  <c r="O73" i="19"/>
  <c r="L173" i="19"/>
  <c r="R173" i="19"/>
  <c r="O123" i="19"/>
  <c r="L123" i="19"/>
  <c r="X161" i="19"/>
  <c r="U211" i="19"/>
  <c r="X211" i="19"/>
  <c r="X11" i="19"/>
  <c r="U61" i="19"/>
  <c r="X61" i="19"/>
  <c r="U111" i="19"/>
  <c r="X111" i="19"/>
  <c r="U161" i="19"/>
  <c r="U11" i="19"/>
  <c r="O211" i="19"/>
  <c r="R11" i="19"/>
  <c r="R161" i="19"/>
  <c r="R61" i="19"/>
  <c r="R211" i="19"/>
  <c r="R111" i="19"/>
  <c r="O161" i="19"/>
  <c r="L61" i="19"/>
  <c r="O11" i="19"/>
  <c r="L211" i="19"/>
  <c r="O111" i="19"/>
  <c r="L161" i="19"/>
  <c r="O61" i="19"/>
  <c r="L111" i="19"/>
  <c r="X110" i="19"/>
  <c r="U160" i="19"/>
  <c r="X160" i="19"/>
  <c r="U210" i="19"/>
  <c r="U10" i="19"/>
  <c r="X210" i="19"/>
  <c r="X10" i="19"/>
  <c r="U60" i="19"/>
  <c r="X60" i="19"/>
  <c r="U110" i="19"/>
  <c r="R110" i="19"/>
  <c r="O160" i="19"/>
  <c r="O210" i="19"/>
  <c r="R10" i="19"/>
  <c r="R160" i="19"/>
  <c r="R60" i="19"/>
  <c r="O110" i="19"/>
  <c r="L110" i="19"/>
  <c r="L60" i="19"/>
  <c r="O10" i="19"/>
  <c r="L210" i="19"/>
  <c r="R210" i="19"/>
  <c r="O60" i="19"/>
  <c r="L160" i="19"/>
  <c r="W62" i="19"/>
  <c r="T112" i="19"/>
  <c r="W112" i="19"/>
  <c r="T162" i="19"/>
  <c r="W162" i="19"/>
  <c r="T212" i="19"/>
  <c r="Q12" i="19"/>
  <c r="Q162" i="19"/>
  <c r="Q62" i="19"/>
  <c r="N112" i="19"/>
  <c r="W212" i="19"/>
  <c r="W12" i="19"/>
  <c r="T62" i="19"/>
  <c r="Q212" i="19"/>
  <c r="Q112" i="19"/>
  <c r="N162" i="19"/>
  <c r="T12" i="19"/>
  <c r="N12" i="19"/>
  <c r="K212" i="19"/>
  <c r="N212" i="19"/>
  <c r="K162" i="19"/>
  <c r="N62" i="19"/>
  <c r="K112" i="19"/>
  <c r="K62" i="19"/>
  <c r="L10" i="19"/>
  <c r="L23" i="19"/>
  <c r="K12" i="19"/>
  <c r="L11" i="19"/>
  <c r="AF18" i="1"/>
  <c r="AB24" i="1"/>
  <c r="AC24" i="1"/>
  <c r="AF21" i="1"/>
  <c r="AF57" i="1"/>
  <c r="AF23" i="1"/>
  <c r="AB9" i="1"/>
  <c r="AC9" i="1"/>
  <c r="AC8" i="1"/>
  <c r="AB8" i="1"/>
  <c r="H210" i="13"/>
  <c r="X212" i="19" l="1"/>
  <c r="X12" i="19"/>
  <c r="U62" i="19"/>
  <c r="X62" i="19"/>
  <c r="U112" i="19"/>
  <c r="R162" i="19"/>
  <c r="X112" i="19"/>
  <c r="U162" i="19"/>
  <c r="X162" i="19"/>
  <c r="U212" i="19"/>
  <c r="R12" i="19"/>
  <c r="R62" i="19"/>
  <c r="R212" i="19"/>
  <c r="R112" i="19"/>
  <c r="O162" i="19"/>
  <c r="U12" i="19"/>
  <c r="O212" i="19"/>
  <c r="O12" i="19"/>
  <c r="L212" i="19"/>
  <c r="O112" i="19"/>
  <c r="L162" i="19"/>
  <c r="O62" i="19"/>
  <c r="L112" i="19"/>
  <c r="L62" i="19"/>
  <c r="BD46" i="18"/>
  <c r="AJ86" i="18"/>
  <c r="BD86" i="18"/>
  <c r="AT26" i="18"/>
  <c r="BD26" i="18"/>
  <c r="AJ66" i="18"/>
  <c r="AT86" i="18"/>
  <c r="Z46" i="18"/>
  <c r="AT66" i="18"/>
  <c r="AT6" i="18"/>
  <c r="AJ6" i="18"/>
  <c r="Z26" i="18"/>
  <c r="AT46" i="18"/>
  <c r="AJ26" i="18"/>
  <c r="P26" i="18"/>
  <c r="BD66" i="18"/>
  <c r="P66" i="18"/>
  <c r="Z86" i="18"/>
  <c r="Z66" i="18"/>
  <c r="AJ46" i="18"/>
  <c r="Z6" i="18"/>
  <c r="P86" i="18"/>
  <c r="BD6" i="18"/>
  <c r="P46" i="18"/>
  <c r="AZ38" i="18"/>
  <c r="AF78" i="18"/>
  <c r="AZ78" i="18"/>
  <c r="AP18" i="18"/>
  <c r="AZ18" i="18"/>
  <c r="AF58" i="18"/>
  <c r="AP38" i="18"/>
  <c r="V38" i="18"/>
  <c r="AP78" i="18"/>
  <c r="V18" i="18"/>
  <c r="AF98" i="18"/>
  <c r="AF18" i="18"/>
  <c r="V78" i="18"/>
  <c r="V58" i="18"/>
  <c r="AZ98" i="18"/>
  <c r="V98" i="18"/>
  <c r="L98" i="18"/>
  <c r="AZ58" i="18"/>
  <c r="L78" i="18"/>
  <c r="L58" i="18"/>
  <c r="AF38" i="18"/>
  <c r="AP98" i="18"/>
  <c r="AP58" i="18"/>
  <c r="L38" i="18"/>
  <c r="L12" i="19"/>
  <c r="L18" i="18"/>
  <c r="AF24" i="1"/>
  <c r="P6" i="18"/>
  <c r="V237" i="19" l="1"/>
  <c r="S87" i="19"/>
  <c r="S237" i="19"/>
  <c r="P87" i="19"/>
  <c r="V187" i="19"/>
  <c r="V137" i="19"/>
  <c r="P237" i="19"/>
  <c r="S137" i="19"/>
  <c r="V37" i="19"/>
  <c r="P137" i="19"/>
  <c r="S37" i="19"/>
  <c r="S187" i="19"/>
  <c r="M87" i="19"/>
  <c r="P187" i="19"/>
  <c r="M237" i="19"/>
  <c r="J87" i="19"/>
  <c r="V87" i="19"/>
  <c r="M137" i="19"/>
  <c r="P37" i="19"/>
  <c r="J187" i="19"/>
  <c r="M37" i="19"/>
  <c r="M187" i="19"/>
  <c r="J137" i="19"/>
  <c r="J237" i="19"/>
  <c r="J37" i="19"/>
  <c r="AE15" i="1"/>
  <c r="AD15" i="1" s="1"/>
  <c r="AE14" i="1"/>
  <c r="AD14" i="1" s="1"/>
  <c r="AE12" i="1"/>
  <c r="AD12" i="1" s="1"/>
  <c r="AE11" i="1"/>
  <c r="AD11" i="1" s="1"/>
  <c r="W10" i="1"/>
  <c r="AA10" i="1" s="1"/>
  <c r="AA11" i="1" s="1"/>
  <c r="W13" i="1"/>
  <c r="AA13" i="1" s="1"/>
  <c r="AA14" i="1" s="1"/>
  <c r="AA15" i="1" l="1"/>
  <c r="AC14" i="1"/>
  <c r="AB14" i="1"/>
  <c r="W208" i="19" s="1"/>
  <c r="AA12" i="1"/>
  <c r="AB11" i="1"/>
  <c r="W207" i="19" s="1"/>
  <c r="AC11" i="1"/>
  <c r="AB7" i="1"/>
  <c r="Q57" i="19" l="1"/>
  <c r="K107" i="19"/>
  <c r="W157" i="19"/>
  <c r="Q107" i="19"/>
  <c r="K58" i="19"/>
  <c r="N108" i="19"/>
  <c r="N158" i="19"/>
  <c r="N8" i="19"/>
  <c r="N107" i="19"/>
  <c r="T58" i="19"/>
  <c r="K57" i="19"/>
  <c r="Q158" i="19"/>
  <c r="N57" i="19"/>
  <c r="K207" i="19"/>
  <c r="W7" i="19"/>
  <c r="K208" i="19"/>
  <c r="K158" i="19"/>
  <c r="W58" i="19"/>
  <c r="N157" i="19"/>
  <c r="N207" i="19"/>
  <c r="T107" i="19"/>
  <c r="N208" i="19"/>
  <c r="Q8" i="19"/>
  <c r="T158" i="19"/>
  <c r="N7" i="19"/>
  <c r="Q157" i="19"/>
  <c r="Q207" i="19"/>
  <c r="N58" i="19"/>
  <c r="T108" i="19"/>
  <c r="T8" i="19"/>
  <c r="T57" i="19"/>
  <c r="W57" i="19"/>
  <c r="W107" i="19"/>
  <c r="Q108" i="19"/>
  <c r="Q208" i="19"/>
  <c r="W158" i="19"/>
  <c r="Q7" i="19"/>
  <c r="T157" i="19"/>
  <c r="T207" i="19"/>
  <c r="K108" i="19"/>
  <c r="W108" i="19"/>
  <c r="W8" i="19"/>
  <c r="K157" i="19"/>
  <c r="T7" i="19"/>
  <c r="Q58" i="19"/>
  <c r="T208" i="19"/>
  <c r="K7" i="19"/>
  <c r="K8" i="19"/>
  <c r="AF14" i="1"/>
  <c r="AF11" i="1"/>
  <c r="AC15" i="1"/>
  <c r="AB15" i="1"/>
  <c r="AB12" i="1"/>
  <c r="AC12" i="1"/>
  <c r="AC7" i="1"/>
  <c r="X107" i="19" l="1"/>
  <c r="U57" i="19"/>
  <c r="X207" i="19"/>
  <c r="X57" i="19"/>
  <c r="U107" i="19"/>
  <c r="L57" i="19"/>
  <c r="R107" i="19"/>
  <c r="O157" i="19"/>
  <c r="X7" i="19"/>
  <c r="O107" i="19"/>
  <c r="R57" i="19"/>
  <c r="O7" i="19"/>
  <c r="X157" i="19"/>
  <c r="R207" i="19"/>
  <c r="L107" i="19"/>
  <c r="O57" i="19"/>
  <c r="U7" i="19"/>
  <c r="R7" i="19"/>
  <c r="U207" i="19"/>
  <c r="U157" i="19"/>
  <c r="L157" i="19"/>
  <c r="L207" i="19"/>
  <c r="R157" i="19"/>
  <c r="O207" i="19"/>
  <c r="X208" i="19"/>
  <c r="R208" i="19"/>
  <c r="R108" i="19"/>
  <c r="X158" i="19"/>
  <c r="U108" i="19"/>
  <c r="O58" i="19"/>
  <c r="R158" i="19"/>
  <c r="U8" i="19"/>
  <c r="O8" i="19"/>
  <c r="O208" i="19"/>
  <c r="O108" i="19"/>
  <c r="U158" i="19"/>
  <c r="O158" i="19"/>
  <c r="L208" i="19"/>
  <c r="U208" i="19"/>
  <c r="L158" i="19"/>
  <c r="X58" i="19"/>
  <c r="X8" i="19"/>
  <c r="L58" i="19"/>
  <c r="U58" i="19"/>
  <c r="R58" i="19"/>
  <c r="R8" i="19"/>
  <c r="L108" i="19"/>
  <c r="X108" i="19"/>
  <c r="L8" i="19"/>
  <c r="L7" i="19"/>
  <c r="AF15" i="1"/>
  <c r="AF12" i="1"/>
  <c r="AB10" i="1"/>
  <c r="AC10" i="1" l="1"/>
  <c r="AB13" i="1" s="1"/>
  <c r="AC13" i="1" l="1"/>
  <c r="P159" i="19" l="1"/>
  <c r="S9" i="19"/>
  <c r="J59" i="19"/>
  <c r="V209" i="19"/>
  <c r="M59" i="19"/>
  <c r="S59" i="19"/>
  <c r="M159" i="19"/>
  <c r="M109" i="19"/>
  <c r="S209" i="19"/>
  <c r="P59" i="19"/>
  <c r="P9" i="19"/>
  <c r="M9" i="19"/>
  <c r="V109" i="19"/>
  <c r="V159" i="19"/>
  <c r="J109" i="19"/>
  <c r="P209" i="19"/>
  <c r="P109" i="19"/>
  <c r="J159" i="19"/>
  <c r="S159" i="19"/>
  <c r="S109" i="19"/>
  <c r="M209" i="19"/>
  <c r="V59" i="19"/>
  <c r="V9" i="19"/>
  <c r="J209" i="19"/>
  <c r="J9" i="19"/>
  <c r="AE9" i="1" l="1"/>
  <c r="AD9" i="1" s="1"/>
  <c r="AE8" i="1"/>
  <c r="AD8" i="1" s="1"/>
  <c r="X206" i="19" l="1"/>
  <c r="X56" i="19"/>
  <c r="U56" i="19"/>
  <c r="U206" i="19"/>
  <c r="X106" i="19"/>
  <c r="R206" i="19"/>
  <c r="U106" i="19"/>
  <c r="X6" i="19"/>
  <c r="X156" i="19"/>
  <c r="U6" i="19"/>
  <c r="R56" i="19"/>
  <c r="L106" i="19"/>
  <c r="O56" i="19"/>
  <c r="O206" i="19"/>
  <c r="L206" i="19"/>
  <c r="L56" i="19"/>
  <c r="U156" i="19"/>
  <c r="O106" i="19"/>
  <c r="R106" i="19"/>
  <c r="R156" i="19"/>
  <c r="R6" i="19"/>
  <c r="L156" i="19"/>
  <c r="O156" i="19"/>
  <c r="O6" i="19"/>
  <c r="T156" i="19"/>
  <c r="W56" i="19"/>
  <c r="Q156" i="19"/>
  <c r="W206" i="19"/>
  <c r="T56" i="19"/>
  <c r="T206" i="19"/>
  <c r="W106" i="19"/>
  <c r="Q206" i="19"/>
  <c r="T106" i="19"/>
  <c r="W6" i="19"/>
  <c r="N156" i="19"/>
  <c r="T6" i="19"/>
  <c r="Q56" i="19"/>
  <c r="N56" i="19"/>
  <c r="W156" i="19"/>
  <c r="N206" i="19"/>
  <c r="K206" i="19"/>
  <c r="K56" i="19"/>
  <c r="N106" i="19"/>
  <c r="N6" i="19"/>
  <c r="Q6" i="19"/>
  <c r="Q106" i="19"/>
  <c r="K156" i="19"/>
  <c r="K106" i="19"/>
  <c r="K6" i="19"/>
  <c r="L6" i="19"/>
  <c r="AF9" i="1"/>
  <c r="AF8" i="1"/>
  <c r="N70" i="1" l="1"/>
  <c r="O70" i="1" s="1"/>
  <c r="N76" i="1"/>
  <c r="O76" i="1" s="1"/>
  <c r="N55" i="1"/>
  <c r="O55" i="1" s="1"/>
  <c r="N61" i="1"/>
  <c r="O61" i="1" s="1"/>
  <c r="N97" i="1"/>
  <c r="O97" i="1" s="1"/>
  <c r="N19" i="1"/>
  <c r="O19" i="1" s="1"/>
  <c r="N34" i="1"/>
  <c r="O34" i="1" s="1"/>
  <c r="N40" i="1"/>
  <c r="O40" i="1" s="1"/>
  <c r="N148" i="1"/>
  <c r="O148" i="1" s="1"/>
  <c r="N133" i="1"/>
  <c r="O133" i="1" s="1"/>
  <c r="N49" i="1"/>
  <c r="O49" i="1" s="1"/>
  <c r="N145" i="1"/>
  <c r="O145" i="1" s="1"/>
  <c r="N130" i="1"/>
  <c r="O130" i="1" s="1"/>
  <c r="N127" i="1"/>
  <c r="O127" i="1" s="1"/>
  <c r="N151" i="1"/>
  <c r="O151" i="1" s="1"/>
  <c r="N139" i="1"/>
  <c r="O139" i="1" s="1"/>
  <c r="N136" i="1"/>
  <c r="O136" i="1" s="1"/>
  <c r="N106" i="1"/>
  <c r="O106" i="1" s="1"/>
  <c r="N28" i="1"/>
  <c r="O28" i="1" s="1"/>
  <c r="N58" i="1"/>
  <c r="O58" i="1" s="1"/>
  <c r="N124" i="1"/>
  <c r="O124" i="1" s="1"/>
  <c r="N67" i="1"/>
  <c r="O67" i="1" s="1"/>
  <c r="N142" i="1"/>
  <c r="O142" i="1" s="1"/>
  <c r="N94" i="1"/>
  <c r="O94" i="1" s="1"/>
  <c r="N16" i="1"/>
  <c r="O16" i="1" s="1"/>
  <c r="N121" i="1"/>
  <c r="O121" i="1" s="1"/>
  <c r="N46" i="1"/>
  <c r="O46" i="1" s="1"/>
  <c r="N13" i="1"/>
  <c r="O13" i="1" s="1"/>
  <c r="N79" i="1"/>
  <c r="O79" i="1" s="1"/>
  <c r="N103" i="1"/>
  <c r="O103" i="1" s="1"/>
  <c r="N118" i="1"/>
  <c r="O118" i="1" s="1"/>
  <c r="N37" i="1"/>
  <c r="O37" i="1" s="1"/>
  <c r="N43" i="1"/>
  <c r="O43" i="1" s="1"/>
  <c r="N82" i="1"/>
  <c r="O82" i="1" s="1"/>
  <c r="N52" i="1"/>
  <c r="O52" i="1" s="1"/>
  <c r="N112" i="1"/>
  <c r="O112" i="1" s="1"/>
  <c r="N22" i="1"/>
  <c r="O22" i="1" s="1"/>
  <c r="N31" i="1"/>
  <c r="O31" i="1" s="1"/>
  <c r="N109" i="1"/>
  <c r="O109" i="1" s="1"/>
  <c r="N85" i="1"/>
  <c r="O85" i="1" s="1"/>
  <c r="N88" i="1"/>
  <c r="O88" i="1" s="1"/>
  <c r="N73" i="1"/>
  <c r="O73" i="1" s="1"/>
  <c r="N64" i="1"/>
  <c r="O64" i="1" s="1"/>
  <c r="N91" i="1"/>
  <c r="O91" i="1" s="1"/>
  <c r="N115" i="1"/>
  <c r="O115" i="1" s="1"/>
  <c r="N25" i="1"/>
  <c r="O25" i="1" s="1"/>
  <c r="N10" i="1"/>
  <c r="O10" i="1" s="1"/>
  <c r="N7" i="1"/>
  <c r="O7" i="1" s="1"/>
  <c r="AX66" i="18" l="1"/>
  <c r="AD66" i="18"/>
  <c r="J46" i="18"/>
  <c r="J6" i="18"/>
  <c r="AN86" i="18"/>
  <c r="AN66" i="18"/>
  <c r="AD6" i="18"/>
  <c r="AN6" i="18"/>
  <c r="AD46" i="18"/>
  <c r="J26" i="18"/>
  <c r="AD26" i="18"/>
  <c r="AN46" i="18"/>
  <c r="AX26" i="18"/>
  <c r="T86" i="18"/>
  <c r="AX46" i="18"/>
  <c r="T46" i="18"/>
  <c r="AX6" i="18"/>
  <c r="P7" i="1"/>
  <c r="AE7" i="1" s="1"/>
  <c r="AD7" i="1" s="1"/>
  <c r="Q7" i="1"/>
  <c r="T26" i="18"/>
  <c r="J86" i="18"/>
  <c r="AD86" i="18"/>
  <c r="J66" i="18"/>
  <c r="T66" i="18"/>
  <c r="T6" i="18"/>
  <c r="AN26" i="18"/>
  <c r="AX86" i="18"/>
  <c r="AF96" i="18"/>
  <c r="L96" i="18"/>
  <c r="V56" i="18"/>
  <c r="AF36" i="18"/>
  <c r="AP16" i="18"/>
  <c r="V96" i="18"/>
  <c r="AP56" i="18"/>
  <c r="AF16" i="18"/>
  <c r="AP76" i="18"/>
  <c r="AF76" i="18"/>
  <c r="L36" i="18"/>
  <c r="L76" i="18"/>
  <c r="AZ16" i="18"/>
  <c r="V16" i="18"/>
  <c r="AZ76" i="18"/>
  <c r="AZ56" i="18"/>
  <c r="AZ96" i="18"/>
  <c r="V76" i="18"/>
  <c r="AF56" i="18"/>
  <c r="L16" i="18"/>
  <c r="AP96" i="18"/>
  <c r="P85" i="1"/>
  <c r="AE85" i="1" s="1"/>
  <c r="AD85" i="1" s="1"/>
  <c r="AP36" i="18"/>
  <c r="L56" i="18"/>
  <c r="AZ36" i="18"/>
  <c r="Q85" i="1"/>
  <c r="V36" i="18"/>
  <c r="AF90" i="18"/>
  <c r="AF50" i="18"/>
  <c r="AP50" i="18"/>
  <c r="AZ90" i="18"/>
  <c r="AF30" i="18"/>
  <c r="V90" i="18"/>
  <c r="AP30" i="18"/>
  <c r="V30" i="18"/>
  <c r="V70" i="18"/>
  <c r="AZ30" i="18"/>
  <c r="AZ70" i="18"/>
  <c r="L50" i="18"/>
  <c r="AF70" i="18"/>
  <c r="AF10" i="18"/>
  <c r="AP10" i="18"/>
  <c r="AZ50" i="18"/>
  <c r="AP90" i="18"/>
  <c r="AP70" i="18"/>
  <c r="L10" i="18"/>
  <c r="V50" i="18"/>
  <c r="P37" i="1"/>
  <c r="AE37" i="1" s="1"/>
  <c r="AD37" i="1" s="1"/>
  <c r="L30" i="18"/>
  <c r="Q37" i="1"/>
  <c r="L70" i="18"/>
  <c r="V10" i="18"/>
  <c r="L90" i="18"/>
  <c r="AZ10" i="18"/>
  <c r="BF96" i="18"/>
  <c r="AB76" i="18"/>
  <c r="AV56" i="18"/>
  <c r="AV96" i="18"/>
  <c r="AV16" i="18"/>
  <c r="AL96" i="18"/>
  <c r="AL36" i="18"/>
  <c r="AB96" i="18"/>
  <c r="AB56" i="18"/>
  <c r="BF36" i="18"/>
  <c r="R76" i="18"/>
  <c r="AB36" i="18"/>
  <c r="AV76" i="18"/>
  <c r="AV36" i="18"/>
  <c r="AB16" i="18"/>
  <c r="AL16" i="18"/>
  <c r="R36" i="18"/>
  <c r="BF16" i="18"/>
  <c r="BF56" i="18"/>
  <c r="BF76" i="18"/>
  <c r="AL76" i="18"/>
  <c r="R96" i="18"/>
  <c r="AL56" i="18"/>
  <c r="R56" i="18"/>
  <c r="P94" i="1"/>
  <c r="AE94" i="1" s="1"/>
  <c r="AD94" i="1" s="1"/>
  <c r="R16" i="18"/>
  <c r="Q94" i="1"/>
  <c r="P139" i="1"/>
  <c r="AE139" i="1" s="1"/>
  <c r="AD139" i="1" s="1"/>
  <c r="AX104" i="18"/>
  <c r="AN104" i="18"/>
  <c r="AD24" i="18"/>
  <c r="J44" i="18"/>
  <c r="AX24" i="18"/>
  <c r="AN24" i="18"/>
  <c r="T44" i="18"/>
  <c r="AN44" i="18"/>
  <c r="AD44" i="18"/>
  <c r="J64" i="18"/>
  <c r="AX84" i="18"/>
  <c r="AD64" i="18"/>
  <c r="T64" i="18"/>
  <c r="AX44" i="18"/>
  <c r="T84" i="18"/>
  <c r="J84" i="18"/>
  <c r="AN64" i="18"/>
  <c r="J104" i="18"/>
  <c r="AX64" i="18"/>
  <c r="AD84" i="18"/>
  <c r="AD104" i="18"/>
  <c r="T24" i="18"/>
  <c r="J24" i="18"/>
  <c r="AN84" i="18"/>
  <c r="T104" i="18"/>
  <c r="Q139" i="1"/>
  <c r="AR50" i="18"/>
  <c r="BB70" i="18"/>
  <c r="X30" i="18"/>
  <c r="BB50" i="18"/>
  <c r="BB10" i="18"/>
  <c r="BB90" i="18"/>
  <c r="AR90" i="18"/>
  <c r="AH90" i="18"/>
  <c r="X90" i="18"/>
  <c r="AH30" i="18"/>
  <c r="AH70" i="18"/>
  <c r="X70" i="18"/>
  <c r="BB30" i="18"/>
  <c r="AH50" i="18"/>
  <c r="N50" i="18"/>
  <c r="AR70" i="18"/>
  <c r="AR30" i="18"/>
  <c r="AR10" i="18"/>
  <c r="AH10" i="18"/>
  <c r="N70" i="18"/>
  <c r="X50" i="18"/>
  <c r="N30" i="18"/>
  <c r="X10" i="18"/>
  <c r="P40" i="1"/>
  <c r="AE40" i="1" s="1"/>
  <c r="AD40" i="1" s="1"/>
  <c r="N10" i="18"/>
  <c r="N90" i="18"/>
  <c r="Q40" i="1"/>
  <c r="V6" i="18"/>
  <c r="L46" i="18"/>
  <c r="V66" i="18"/>
  <c r="AF86" i="18"/>
  <c r="AP26" i="18"/>
  <c r="V26" i="18"/>
  <c r="AZ6" i="18"/>
  <c r="AF66" i="18"/>
  <c r="AP6" i="18"/>
  <c r="AF46" i="18"/>
  <c r="AZ26" i="18"/>
  <c r="L26" i="18"/>
  <c r="AZ46" i="18"/>
  <c r="L86" i="18"/>
  <c r="AZ66" i="18"/>
  <c r="AP86" i="18"/>
  <c r="AP66" i="18"/>
  <c r="V86" i="18"/>
  <c r="AF26" i="18"/>
  <c r="AF6" i="18"/>
  <c r="L66" i="18"/>
  <c r="AZ86" i="18"/>
  <c r="AP46" i="18"/>
  <c r="P10" i="1"/>
  <c r="AE10" i="1" s="1"/>
  <c r="AD10" i="1" s="1"/>
  <c r="V46" i="18"/>
  <c r="L6" i="18"/>
  <c r="Q10" i="1"/>
  <c r="AD100" i="18"/>
  <c r="AD20" i="18"/>
  <c r="T80" i="18"/>
  <c r="AD40" i="18"/>
  <c r="T100" i="18"/>
  <c r="T40" i="18"/>
  <c r="AN80" i="18"/>
  <c r="J80" i="18"/>
  <c r="J20" i="18"/>
  <c r="T20" i="18"/>
  <c r="J60" i="18"/>
  <c r="AX100" i="18"/>
  <c r="AX20" i="18"/>
  <c r="AX80" i="18"/>
  <c r="AX40" i="18"/>
  <c r="AN20" i="18"/>
  <c r="AX60" i="18"/>
  <c r="AN60" i="18"/>
  <c r="AD80" i="18"/>
  <c r="J100" i="18"/>
  <c r="J40" i="18"/>
  <c r="AN40" i="18"/>
  <c r="T60" i="18"/>
  <c r="AN100" i="18"/>
  <c r="P109" i="1"/>
  <c r="AE109" i="1" s="1"/>
  <c r="AD109" i="1" s="1"/>
  <c r="Q109" i="1"/>
  <c r="AD60" i="18"/>
  <c r="AT100" i="18"/>
  <c r="P100" i="18"/>
  <c r="AT40" i="18"/>
  <c r="BD80" i="18"/>
  <c r="AJ40" i="18"/>
  <c r="AJ100" i="18"/>
  <c r="Z60" i="18"/>
  <c r="BD40" i="18"/>
  <c r="BD60" i="18"/>
  <c r="Z40" i="18"/>
  <c r="AT80" i="18"/>
  <c r="P80" i="18"/>
  <c r="Z20" i="18"/>
  <c r="P118" i="1"/>
  <c r="AE118" i="1" s="1"/>
  <c r="AD118" i="1" s="1"/>
  <c r="AJ20" i="18"/>
  <c r="P40" i="18"/>
  <c r="AT20" i="18"/>
  <c r="Q118" i="1"/>
  <c r="AJ60" i="18"/>
  <c r="AT60" i="18"/>
  <c r="BD100" i="18"/>
  <c r="BD20" i="18"/>
  <c r="AJ80" i="18"/>
  <c r="Z100" i="18"/>
  <c r="Z80" i="18"/>
  <c r="P60" i="18"/>
  <c r="P20" i="18"/>
  <c r="AF44" i="18"/>
  <c r="L64" i="18"/>
  <c r="AZ24" i="18"/>
  <c r="V64" i="18"/>
  <c r="AZ44" i="18"/>
  <c r="AP44" i="18"/>
  <c r="Q142" i="1"/>
  <c r="L84" i="18"/>
  <c r="AP64" i="18"/>
  <c r="AF64" i="18"/>
  <c r="P142" i="1"/>
  <c r="AE142" i="1" s="1"/>
  <c r="AD142" i="1" s="1"/>
  <c r="AZ64" i="18"/>
  <c r="AF84" i="18"/>
  <c r="V84" i="18"/>
  <c r="AP84" i="18"/>
  <c r="V104" i="18"/>
  <c r="L104" i="18"/>
  <c r="AF104" i="18"/>
  <c r="V24" i="18"/>
  <c r="L24" i="18"/>
  <c r="AZ84" i="18"/>
  <c r="AP104" i="18"/>
  <c r="AF24" i="18"/>
  <c r="L44" i="18"/>
  <c r="AP24" i="18"/>
  <c r="V44" i="18"/>
  <c r="AZ104" i="18"/>
  <c r="P151" i="1"/>
  <c r="AL64" i="18"/>
  <c r="AB64" i="18"/>
  <c r="BF44" i="18"/>
  <c r="AB84" i="18"/>
  <c r="R84" i="18"/>
  <c r="AV64" i="18"/>
  <c r="AV44" i="18"/>
  <c r="R104" i="18"/>
  <c r="BF64" i="18"/>
  <c r="AL84" i="18"/>
  <c r="R64" i="18"/>
  <c r="R24" i="18"/>
  <c r="AV84" i="18"/>
  <c r="AB104" i="18"/>
  <c r="BF84" i="18"/>
  <c r="AL104" i="18"/>
  <c r="AB24" i="18"/>
  <c r="Q151" i="1"/>
  <c r="BF104" i="18"/>
  <c r="AV104" i="18"/>
  <c r="AL24" i="18"/>
  <c r="R44" i="18"/>
  <c r="AL44" i="18"/>
  <c r="BF24" i="18"/>
  <c r="AV24" i="18"/>
  <c r="AB44" i="18"/>
  <c r="AX50" i="18"/>
  <c r="AX30" i="18"/>
  <c r="T70" i="18"/>
  <c r="AD70" i="18"/>
  <c r="J30" i="18"/>
  <c r="J50" i="18"/>
  <c r="AN50" i="18"/>
  <c r="T90" i="18"/>
  <c r="AX10" i="18"/>
  <c r="AN90" i="18"/>
  <c r="AN10" i="18"/>
  <c r="J70" i="18"/>
  <c r="AX90" i="18"/>
  <c r="T10" i="18"/>
  <c r="AN70" i="18"/>
  <c r="AN30" i="18"/>
  <c r="J90" i="18"/>
  <c r="AD30" i="18"/>
  <c r="AX70" i="18"/>
  <c r="AD50" i="18"/>
  <c r="T50" i="18"/>
  <c r="T30" i="18"/>
  <c r="P34" i="1"/>
  <c r="AE34" i="1" s="1"/>
  <c r="AD34" i="1" s="1"/>
  <c r="Q34" i="1"/>
  <c r="AD10" i="18"/>
  <c r="J10" i="18"/>
  <c r="AD90" i="18"/>
  <c r="BB68" i="18"/>
  <c r="AH88" i="18"/>
  <c r="N68" i="18"/>
  <c r="AR8" i="18"/>
  <c r="X8" i="18"/>
  <c r="AH68" i="18"/>
  <c r="AR68" i="18"/>
  <c r="X88" i="18"/>
  <c r="N88" i="18"/>
  <c r="BB8" i="18"/>
  <c r="X68" i="18"/>
  <c r="N48" i="18"/>
  <c r="AR48" i="18"/>
  <c r="X48" i="18"/>
  <c r="AH48" i="18"/>
  <c r="BB28" i="18"/>
  <c r="BB88" i="18"/>
  <c r="AR88" i="18"/>
  <c r="AH8" i="18"/>
  <c r="BB48" i="18"/>
  <c r="N28" i="18"/>
  <c r="AR28" i="18"/>
  <c r="X28" i="18"/>
  <c r="AH28" i="18"/>
  <c r="N8" i="18"/>
  <c r="P25" i="1"/>
  <c r="AE25" i="1" s="1"/>
  <c r="AD25" i="1" s="1"/>
  <c r="Q25" i="1"/>
  <c r="BF48" i="18"/>
  <c r="AB68" i="18"/>
  <c r="R28" i="18"/>
  <c r="AL28" i="18"/>
  <c r="AB28" i="18"/>
  <c r="R68" i="18"/>
  <c r="AV8" i="18"/>
  <c r="R48" i="18"/>
  <c r="AV68" i="18"/>
  <c r="AB8" i="18"/>
  <c r="AL88" i="18"/>
  <c r="AV28" i="18"/>
  <c r="AV48" i="18"/>
  <c r="BF68" i="18"/>
  <c r="AB88" i="18"/>
  <c r="AV88" i="18"/>
  <c r="R88" i="18"/>
  <c r="BF88" i="18"/>
  <c r="AB48" i="18"/>
  <c r="P31" i="1"/>
  <c r="AE31" i="1" s="1"/>
  <c r="AD31" i="1" s="1"/>
  <c r="BF28" i="18"/>
  <c r="Q31" i="1"/>
  <c r="AL48" i="18"/>
  <c r="R8" i="18"/>
  <c r="BF8" i="18"/>
  <c r="AL8" i="18"/>
  <c r="AL68" i="18"/>
  <c r="BD78" i="18"/>
  <c r="BD38" i="18"/>
  <c r="AJ58" i="18"/>
  <c r="AT78" i="18"/>
  <c r="Z38" i="18"/>
  <c r="AJ78" i="18"/>
  <c r="Z58" i="18"/>
  <c r="AJ18" i="18"/>
  <c r="Z18" i="18"/>
  <c r="AJ38" i="18"/>
  <c r="BD18" i="18"/>
  <c r="P98" i="18"/>
  <c r="AT98" i="18"/>
  <c r="AT58" i="18"/>
  <c r="P18" i="18"/>
  <c r="P38" i="18"/>
  <c r="AT18" i="18"/>
  <c r="P58" i="18"/>
  <c r="AT38" i="18"/>
  <c r="BD98" i="18"/>
  <c r="BD58" i="18"/>
  <c r="P78" i="18"/>
  <c r="Q103" i="1"/>
  <c r="AJ98" i="18"/>
  <c r="Z98" i="18"/>
  <c r="Z78" i="18"/>
  <c r="P103" i="1"/>
  <c r="AE103" i="1" s="1"/>
  <c r="AD103" i="1" s="1"/>
  <c r="AP94" i="18"/>
  <c r="AP54" i="18"/>
  <c r="AP34" i="18"/>
  <c r="AF34" i="18"/>
  <c r="L74" i="18"/>
  <c r="AF94" i="18"/>
  <c r="AZ34" i="18"/>
  <c r="AF74" i="18"/>
  <c r="AF54" i="18"/>
  <c r="AP74" i="18"/>
  <c r="V94" i="18"/>
  <c r="AZ94" i="18"/>
  <c r="AF14" i="18"/>
  <c r="V54" i="18"/>
  <c r="AZ74" i="18"/>
  <c r="AP14" i="18"/>
  <c r="V34" i="18"/>
  <c r="L54" i="18"/>
  <c r="L94" i="18"/>
  <c r="V14" i="18"/>
  <c r="AZ54" i="18"/>
  <c r="AZ14" i="18"/>
  <c r="L34" i="18"/>
  <c r="V74" i="18"/>
  <c r="P67" i="1"/>
  <c r="AE67" i="1" s="1"/>
  <c r="AD67" i="1" s="1"/>
  <c r="Q67" i="1"/>
  <c r="L14" i="18"/>
  <c r="AZ62" i="18"/>
  <c r="V62" i="18"/>
  <c r="AF102" i="18"/>
  <c r="AZ102" i="18"/>
  <c r="V22" i="18"/>
  <c r="AZ82" i="18"/>
  <c r="AP82" i="18"/>
  <c r="AF82" i="18"/>
  <c r="L102" i="18"/>
  <c r="AZ42" i="18"/>
  <c r="AF22" i="18"/>
  <c r="AF42" i="18"/>
  <c r="L62" i="18"/>
  <c r="AZ22" i="18"/>
  <c r="L22" i="18"/>
  <c r="L82" i="18"/>
  <c r="AP62" i="18"/>
  <c r="AP102" i="18"/>
  <c r="AP22" i="18"/>
  <c r="V102" i="18"/>
  <c r="V82" i="18"/>
  <c r="AF62" i="18"/>
  <c r="P127" i="1"/>
  <c r="AE127" i="1" s="1"/>
  <c r="AD127" i="1" s="1"/>
  <c r="Q127" i="1"/>
  <c r="AP42" i="18"/>
  <c r="L42" i="18"/>
  <c r="V42" i="18"/>
  <c r="AN8" i="18"/>
  <c r="T28" i="18"/>
  <c r="AD8" i="18"/>
  <c r="T88" i="18"/>
  <c r="AX48" i="18"/>
  <c r="AN48" i="18"/>
  <c r="AX8" i="18"/>
  <c r="AD88" i="18"/>
  <c r="J28" i="18"/>
  <c r="AX88" i="18"/>
  <c r="T68" i="18"/>
  <c r="AD48" i="18"/>
  <c r="AN28" i="18"/>
  <c r="AD68" i="18"/>
  <c r="J88" i="18"/>
  <c r="AN68" i="18"/>
  <c r="J68" i="18"/>
  <c r="AX68" i="18"/>
  <c r="T48" i="18"/>
  <c r="AX28" i="18"/>
  <c r="J48" i="18"/>
  <c r="AN88" i="18"/>
  <c r="P19" i="1"/>
  <c r="AE19" i="1" s="1"/>
  <c r="AD19" i="1" s="1"/>
  <c r="Q19" i="1"/>
  <c r="T8" i="18"/>
  <c r="J8" i="18"/>
  <c r="AD28" i="18"/>
  <c r="BB100" i="18"/>
  <c r="N40" i="18"/>
  <c r="N100" i="18"/>
  <c r="AR40" i="18"/>
  <c r="BB20" i="18"/>
  <c r="AR20" i="18"/>
  <c r="BB40" i="18"/>
  <c r="AR100" i="18"/>
  <c r="AH60" i="18"/>
  <c r="AH80" i="18"/>
  <c r="AH40" i="18"/>
  <c r="AH20" i="18"/>
  <c r="BB80" i="18"/>
  <c r="AR80" i="18"/>
  <c r="X100" i="18"/>
  <c r="AH100" i="18"/>
  <c r="X40" i="18"/>
  <c r="X20" i="18"/>
  <c r="P115" i="1"/>
  <c r="AE115" i="1" s="1"/>
  <c r="AD115" i="1" s="1"/>
  <c r="Q115" i="1"/>
  <c r="BB60" i="18"/>
  <c r="X60" i="18"/>
  <c r="AR60" i="18"/>
  <c r="X80" i="18"/>
  <c r="N20" i="18"/>
  <c r="N80" i="18"/>
  <c r="N60" i="18"/>
  <c r="AZ28" i="18"/>
  <c r="AP48" i="18"/>
  <c r="AZ48" i="18"/>
  <c r="AF68" i="18"/>
  <c r="V8" i="18"/>
  <c r="AF88" i="18"/>
  <c r="AZ68" i="18"/>
  <c r="AF28" i="18"/>
  <c r="L88" i="18"/>
  <c r="AP8" i="18"/>
  <c r="L68" i="18"/>
  <c r="L48" i="18"/>
  <c r="AZ8" i="18"/>
  <c r="AP28" i="18"/>
  <c r="AF8" i="18"/>
  <c r="AF48" i="18"/>
  <c r="V88" i="18"/>
  <c r="AP88" i="18"/>
  <c r="AZ88" i="18"/>
  <c r="V68" i="18"/>
  <c r="L28" i="18"/>
  <c r="V28" i="18"/>
  <c r="V48" i="18"/>
  <c r="AP68" i="18"/>
  <c r="L8" i="18"/>
  <c r="P22" i="1"/>
  <c r="AE22" i="1" s="1"/>
  <c r="AD22" i="1" s="1"/>
  <c r="Q22" i="1"/>
  <c r="BF54" i="18"/>
  <c r="BF94" i="18"/>
  <c r="AB14" i="18"/>
  <c r="AL74" i="18"/>
  <c r="AV14" i="18"/>
  <c r="R94" i="18"/>
  <c r="P79" i="1"/>
  <c r="AE79" i="1" s="1"/>
  <c r="AD79" i="1" s="1"/>
  <c r="AL54" i="18"/>
  <c r="AV74" i="18"/>
  <c r="AL94" i="18"/>
  <c r="AL14" i="18"/>
  <c r="AL34" i="18"/>
  <c r="AB74" i="18"/>
  <c r="BF14" i="18"/>
  <c r="AV94" i="18"/>
  <c r="AB54" i="18"/>
  <c r="R14" i="18"/>
  <c r="BF74" i="18"/>
  <c r="R54" i="18"/>
  <c r="AB34" i="18"/>
  <c r="Q79" i="1"/>
  <c r="R74" i="18"/>
  <c r="BF34" i="18"/>
  <c r="AV34" i="18"/>
  <c r="R34" i="18"/>
  <c r="AV54" i="18"/>
  <c r="AB94" i="18"/>
  <c r="AD82" i="18"/>
  <c r="AN42" i="18"/>
  <c r="J102" i="18"/>
  <c r="AX82" i="18"/>
  <c r="T22" i="18"/>
  <c r="J62" i="18"/>
  <c r="AN22" i="18"/>
  <c r="AD42" i="18"/>
  <c r="T102" i="18"/>
  <c r="AX22" i="18"/>
  <c r="J22" i="18"/>
  <c r="J82" i="18"/>
  <c r="AD62" i="18"/>
  <c r="AN82" i="18"/>
  <c r="AX102" i="18"/>
  <c r="AX42" i="18"/>
  <c r="AN102" i="18"/>
  <c r="AN62" i="18"/>
  <c r="AX62" i="18"/>
  <c r="P124" i="1"/>
  <c r="AE124" i="1" s="1"/>
  <c r="AD124" i="1" s="1"/>
  <c r="Q124" i="1"/>
  <c r="T62" i="18"/>
  <c r="AD102" i="18"/>
  <c r="T42" i="18"/>
  <c r="AD22" i="18"/>
  <c r="J42" i="18"/>
  <c r="T82" i="18"/>
  <c r="AH102" i="18"/>
  <c r="X42" i="18"/>
  <c r="AH22" i="18"/>
  <c r="X82" i="18"/>
  <c r="N102" i="18"/>
  <c r="AH42" i="18"/>
  <c r="BB102" i="18"/>
  <c r="N62" i="18"/>
  <c r="AH82" i="18"/>
  <c r="BB82" i="18"/>
  <c r="BB42" i="18"/>
  <c r="N82" i="18"/>
  <c r="N22" i="18"/>
  <c r="AR22" i="18"/>
  <c r="X62" i="18"/>
  <c r="AR42" i="18"/>
  <c r="BB62" i="18"/>
  <c r="AR82" i="18"/>
  <c r="X102" i="18"/>
  <c r="AR62" i="18"/>
  <c r="AR102" i="18"/>
  <c r="P130" i="1"/>
  <c r="AE130" i="1" s="1"/>
  <c r="AD130" i="1" s="1"/>
  <c r="BB22" i="18"/>
  <c r="Q130" i="1"/>
  <c r="X22" i="18"/>
  <c r="N42" i="18"/>
  <c r="AH62" i="18"/>
  <c r="AN98" i="18"/>
  <c r="T18" i="18"/>
  <c r="AD38" i="18"/>
  <c r="T78" i="18"/>
  <c r="J98" i="18"/>
  <c r="J38" i="18"/>
  <c r="AX98" i="18"/>
  <c r="AD58" i="18"/>
  <c r="AX58" i="18"/>
  <c r="AN38" i="18"/>
  <c r="AD98" i="18"/>
  <c r="AX18" i="18"/>
  <c r="AN78" i="18"/>
  <c r="AD18" i="18"/>
  <c r="AD78" i="18"/>
  <c r="AX78" i="18"/>
  <c r="T58" i="18"/>
  <c r="J78" i="18"/>
  <c r="AN18" i="18"/>
  <c r="T38" i="18"/>
  <c r="J58" i="18"/>
  <c r="AX38" i="18"/>
  <c r="T98" i="18"/>
  <c r="AN58" i="18"/>
  <c r="P97" i="1"/>
  <c r="AE97" i="1" s="1"/>
  <c r="AD97" i="1" s="1"/>
  <c r="Q97" i="1"/>
  <c r="J18" i="18"/>
  <c r="AJ96" i="18"/>
  <c r="AT56" i="18"/>
  <c r="Z16" i="18"/>
  <c r="BD96" i="18"/>
  <c r="AT16" i="18"/>
  <c r="P96" i="18"/>
  <c r="P91" i="1"/>
  <c r="AE91" i="1" s="1"/>
  <c r="AD91" i="1" s="1"/>
  <c r="AT36" i="18"/>
  <c r="P36" i="18"/>
  <c r="BD16" i="18"/>
  <c r="BD36" i="18"/>
  <c r="BD76" i="18"/>
  <c r="P76" i="18"/>
  <c r="AJ76" i="18"/>
  <c r="AJ56" i="18"/>
  <c r="AT96" i="18"/>
  <c r="BD56" i="18"/>
  <c r="Z36" i="18"/>
  <c r="Z96" i="18"/>
  <c r="P16" i="18"/>
  <c r="Q91" i="1"/>
  <c r="AT76" i="18"/>
  <c r="AJ16" i="18"/>
  <c r="Z76" i="18"/>
  <c r="Z56" i="18"/>
  <c r="AJ36" i="18"/>
  <c r="P56" i="18"/>
  <c r="AP40" i="18"/>
  <c r="AZ60" i="18"/>
  <c r="L20" i="18"/>
  <c r="AP20" i="18"/>
  <c r="AZ40" i="18"/>
  <c r="V20" i="18"/>
  <c r="AZ20" i="18"/>
  <c r="AF80" i="18"/>
  <c r="L100" i="18"/>
  <c r="AF60" i="18"/>
  <c r="L40" i="18"/>
  <c r="L60" i="18"/>
  <c r="AP80" i="18"/>
  <c r="AP60" i="18"/>
  <c r="V80" i="18"/>
  <c r="P112" i="1"/>
  <c r="AE112" i="1" s="1"/>
  <c r="AD112" i="1" s="1"/>
  <c r="Q112" i="1"/>
  <c r="AP100" i="18"/>
  <c r="V60" i="18"/>
  <c r="AZ100" i="18"/>
  <c r="V40" i="18"/>
  <c r="AF40" i="18"/>
  <c r="V100" i="18"/>
  <c r="AZ80" i="18"/>
  <c r="AF20" i="18"/>
  <c r="AF100" i="18"/>
  <c r="L80" i="18"/>
  <c r="AR86" i="18"/>
  <c r="X86" i="18"/>
  <c r="X46" i="18"/>
  <c r="BB86" i="18"/>
  <c r="AH66" i="18"/>
  <c r="X26" i="18"/>
  <c r="N6" i="18"/>
  <c r="AR26" i="18"/>
  <c r="AR6" i="18"/>
  <c r="X6" i="18"/>
  <c r="BB46" i="18"/>
  <c r="N26" i="18"/>
  <c r="N86" i="18"/>
  <c r="BB26" i="18"/>
  <c r="BB66" i="18"/>
  <c r="AH6" i="18"/>
  <c r="AR46" i="18"/>
  <c r="AR66" i="18"/>
  <c r="X66" i="18"/>
  <c r="P13" i="1"/>
  <c r="AE13" i="1" s="1"/>
  <c r="AD13" i="1" s="1"/>
  <c r="Q13" i="1"/>
  <c r="AH46" i="18"/>
  <c r="BB6" i="18"/>
  <c r="N46" i="18"/>
  <c r="AH26" i="18"/>
  <c r="N66" i="18"/>
  <c r="AH86" i="18"/>
  <c r="BD12" i="18"/>
  <c r="Z12" i="18"/>
  <c r="P52" i="18"/>
  <c r="AT92" i="18"/>
  <c r="Z92" i="18"/>
  <c r="P32" i="18"/>
  <c r="BD92" i="18"/>
  <c r="Z72" i="18"/>
  <c r="AJ92" i="18"/>
  <c r="AT32" i="18"/>
  <c r="Z52" i="18"/>
  <c r="P72" i="18"/>
  <c r="BD32" i="18"/>
  <c r="Z32" i="18"/>
  <c r="AJ52" i="18"/>
  <c r="AT12" i="18"/>
  <c r="AT72" i="18"/>
  <c r="AJ12" i="18"/>
  <c r="BD72" i="18"/>
  <c r="AJ32" i="18"/>
  <c r="BD52" i="18"/>
  <c r="AT52" i="18"/>
  <c r="P58" i="1"/>
  <c r="AE58" i="1" s="1"/>
  <c r="AD58" i="1" s="1"/>
  <c r="AJ72" i="18"/>
  <c r="Q58" i="1"/>
  <c r="P92" i="18"/>
  <c r="P12" i="18"/>
  <c r="P145" i="1"/>
  <c r="N64" i="18"/>
  <c r="BB24" i="18"/>
  <c r="AR24" i="18"/>
  <c r="BB44" i="18"/>
  <c r="AR44" i="18"/>
  <c r="AH44" i="18"/>
  <c r="AR64" i="18"/>
  <c r="AH64" i="18"/>
  <c r="X64" i="18"/>
  <c r="Q145" i="1"/>
  <c r="AR104" i="18"/>
  <c r="BB64" i="18"/>
  <c r="AH84" i="18"/>
  <c r="X84" i="18"/>
  <c r="N84" i="18"/>
  <c r="AR84" i="18"/>
  <c r="X104" i="18"/>
  <c r="N104" i="18"/>
  <c r="AH104" i="18"/>
  <c r="X24" i="18"/>
  <c r="N24" i="18"/>
  <c r="X44" i="18"/>
  <c r="AH24" i="18"/>
  <c r="N44" i="18"/>
  <c r="BB84" i="18"/>
  <c r="BB104" i="18"/>
  <c r="BF92" i="18"/>
  <c r="AB92" i="18"/>
  <c r="AV52" i="18"/>
  <c r="BF32" i="18"/>
  <c r="AB72" i="18"/>
  <c r="R72" i="18"/>
  <c r="AL72" i="18"/>
  <c r="AV92" i="18"/>
  <c r="AL52" i="18"/>
  <c r="AV72" i="18"/>
  <c r="AL32" i="18"/>
  <c r="AL12" i="18"/>
  <c r="AB52" i="18"/>
  <c r="AB12" i="18"/>
  <c r="R52" i="18"/>
  <c r="BF72" i="18"/>
  <c r="BF12" i="18"/>
  <c r="R12" i="18"/>
  <c r="P61" i="1"/>
  <c r="AE61" i="1" s="1"/>
  <c r="AD61" i="1" s="1"/>
  <c r="AB32" i="18"/>
  <c r="R92" i="18"/>
  <c r="R32" i="18"/>
  <c r="AV32" i="18"/>
  <c r="Q61" i="1"/>
  <c r="BF52" i="18"/>
  <c r="AL92" i="18"/>
  <c r="AV12" i="18"/>
  <c r="T14" i="18"/>
  <c r="AD34" i="18"/>
  <c r="J54" i="18"/>
  <c r="T74" i="18"/>
  <c r="AN54" i="18"/>
  <c r="J34" i="18"/>
  <c r="AD54" i="18"/>
  <c r="AX14" i="18"/>
  <c r="AN34" i="18"/>
  <c r="AD74" i="18"/>
  <c r="J94" i="18"/>
  <c r="AX54" i="18"/>
  <c r="AX74" i="18"/>
  <c r="AD14" i="18"/>
  <c r="T54" i="18"/>
  <c r="AN94" i="18"/>
  <c r="AN74" i="18"/>
  <c r="AX94" i="18"/>
  <c r="J14" i="18"/>
  <c r="P64" i="1"/>
  <c r="AE64" i="1" s="1"/>
  <c r="AD64" i="1" s="1"/>
  <c r="Q64" i="1"/>
  <c r="AN14" i="18"/>
  <c r="AX34" i="18"/>
  <c r="T94" i="18"/>
  <c r="AD94" i="18"/>
  <c r="J74" i="18"/>
  <c r="T34" i="18"/>
  <c r="AP52" i="18"/>
  <c r="V52" i="18"/>
  <c r="V12" i="18"/>
  <c r="AZ52" i="18"/>
  <c r="AZ12" i="18"/>
  <c r="L92" i="18"/>
  <c r="AF92" i="18"/>
  <c r="L52" i="18"/>
  <c r="L32" i="18"/>
  <c r="AP32" i="18"/>
  <c r="AP92" i="18"/>
  <c r="AZ92" i="18"/>
  <c r="P52" i="1"/>
  <c r="AE52" i="1" s="1"/>
  <c r="AD52" i="1" s="1"/>
  <c r="AF12" i="18"/>
  <c r="AF72" i="18"/>
  <c r="L72" i="18"/>
  <c r="Q52" i="1"/>
  <c r="AP12" i="18"/>
  <c r="AP72" i="18"/>
  <c r="V32" i="18"/>
  <c r="AF52" i="18"/>
  <c r="AZ72" i="18"/>
  <c r="V72" i="18"/>
  <c r="L12" i="18"/>
  <c r="AZ32" i="18"/>
  <c r="AF32" i="18"/>
  <c r="V92" i="18"/>
  <c r="BF30" i="18"/>
  <c r="AB30" i="18"/>
  <c r="R50" i="18"/>
  <c r="AL70" i="18"/>
  <c r="AV30" i="18"/>
  <c r="AV50" i="18"/>
  <c r="P46" i="1"/>
  <c r="AE46" i="1" s="1"/>
  <c r="AD46" i="1" s="1"/>
  <c r="Q46" i="1"/>
  <c r="BF70" i="18"/>
  <c r="AL10" i="18"/>
  <c r="AL30" i="18"/>
  <c r="AV10" i="18"/>
  <c r="BF90" i="18"/>
  <c r="AB90" i="18"/>
  <c r="R10" i="18"/>
  <c r="BF10" i="18"/>
  <c r="AB10" i="18"/>
  <c r="AB70" i="18"/>
  <c r="AL90" i="18"/>
  <c r="AV70" i="18"/>
  <c r="R30" i="18"/>
  <c r="R90" i="18"/>
  <c r="AV90" i="18"/>
  <c r="AB50" i="18"/>
  <c r="AL50" i="18"/>
  <c r="BF50" i="18"/>
  <c r="R70" i="18"/>
  <c r="BD8" i="18"/>
  <c r="AJ48" i="18"/>
  <c r="AT28" i="18"/>
  <c r="AT8" i="18"/>
  <c r="Z88" i="18"/>
  <c r="AT88" i="18"/>
  <c r="AT48" i="18"/>
  <c r="BD88" i="18"/>
  <c r="AJ8" i="18"/>
  <c r="BD48" i="18"/>
  <c r="Z28" i="18"/>
  <c r="P28" i="18"/>
  <c r="AJ88" i="18"/>
  <c r="Z8" i="18"/>
  <c r="AJ68" i="18"/>
  <c r="AT68" i="18"/>
  <c r="P88" i="18"/>
  <c r="AJ28" i="18"/>
  <c r="Z68" i="18"/>
  <c r="P48" i="18"/>
  <c r="P68" i="18"/>
  <c r="BD68" i="18"/>
  <c r="P8" i="18"/>
  <c r="Z48" i="18"/>
  <c r="BD28" i="18"/>
  <c r="P28" i="1"/>
  <c r="AE28" i="1" s="1"/>
  <c r="AD28" i="1" s="1"/>
  <c r="Q28" i="1"/>
  <c r="AN92" i="18"/>
  <c r="J72" i="18"/>
  <c r="AN12" i="18"/>
  <c r="AD52" i="18"/>
  <c r="T72" i="18"/>
  <c r="AD92" i="18"/>
  <c r="AD32" i="18"/>
  <c r="T52" i="18"/>
  <c r="AX72" i="18"/>
  <c r="AN72" i="18"/>
  <c r="AX92" i="18"/>
  <c r="T32" i="18"/>
  <c r="AX12" i="18"/>
  <c r="AX32" i="18"/>
  <c r="T12" i="18"/>
  <c r="AN52" i="18"/>
  <c r="AX52" i="18"/>
  <c r="J92" i="18"/>
  <c r="T92" i="18"/>
  <c r="AD12" i="18"/>
  <c r="AN32" i="18"/>
  <c r="P49" i="1"/>
  <c r="AE49" i="1" s="1"/>
  <c r="AD49" i="1" s="1"/>
  <c r="Q49" i="1"/>
  <c r="AD72" i="18"/>
  <c r="J12" i="18"/>
  <c r="J32" i="18"/>
  <c r="J52" i="18"/>
  <c r="AH32" i="18"/>
  <c r="AH72" i="18"/>
  <c r="BB72" i="18"/>
  <c r="X12" i="18"/>
  <c r="X72" i="18"/>
  <c r="N72" i="18"/>
  <c r="AR72" i="18"/>
  <c r="X52" i="18"/>
  <c r="AH12" i="18"/>
  <c r="BB12" i="18"/>
  <c r="AR12" i="18"/>
  <c r="X32" i="18"/>
  <c r="AH52" i="18"/>
  <c r="N92" i="18"/>
  <c r="AR52" i="18"/>
  <c r="BB52" i="18"/>
  <c r="BB32" i="18"/>
  <c r="N32" i="18"/>
  <c r="AR92" i="18"/>
  <c r="N52" i="18"/>
  <c r="AR32" i="18"/>
  <c r="BB92" i="18"/>
  <c r="X92" i="18"/>
  <c r="AH92" i="18"/>
  <c r="P55" i="1"/>
  <c r="AE55" i="1" s="1"/>
  <c r="AD55" i="1" s="1"/>
  <c r="Q55" i="1"/>
  <c r="N12" i="18"/>
  <c r="AH74" i="18"/>
  <c r="N54" i="18"/>
  <c r="X14" i="18"/>
  <c r="AR34" i="18"/>
  <c r="X74" i="18"/>
  <c r="N34" i="18"/>
  <c r="AR74" i="18"/>
  <c r="AR94" i="18"/>
  <c r="BB34" i="18"/>
  <c r="BB74" i="18"/>
  <c r="AH34" i="18"/>
  <c r="X34" i="18"/>
  <c r="AR14" i="18"/>
  <c r="N94" i="18"/>
  <c r="BB14" i="18"/>
  <c r="AR54" i="18"/>
  <c r="N74" i="18"/>
  <c r="X94" i="18"/>
  <c r="AH94" i="18"/>
  <c r="AH14" i="18"/>
  <c r="X54" i="18"/>
  <c r="BB54" i="18"/>
  <c r="P73" i="1"/>
  <c r="AE73" i="1" s="1"/>
  <c r="AD73" i="1" s="1"/>
  <c r="Q73" i="1"/>
  <c r="AH54" i="18"/>
  <c r="N14" i="18"/>
  <c r="BB94" i="18"/>
  <c r="AN16" i="18"/>
  <c r="AN36" i="18"/>
  <c r="AX36" i="18"/>
  <c r="J16" i="18"/>
  <c r="AN56" i="18"/>
  <c r="T56" i="18"/>
  <c r="T36" i="18"/>
  <c r="AX56" i="18"/>
  <c r="AN76" i="18"/>
  <c r="T16" i="18"/>
  <c r="AD96" i="18"/>
  <c r="J76" i="18"/>
  <c r="J96" i="18"/>
  <c r="AX16" i="18"/>
  <c r="J56" i="18"/>
  <c r="T96" i="18"/>
  <c r="AX76" i="18"/>
  <c r="AD16" i="18"/>
  <c r="J36" i="18"/>
  <c r="AD76" i="18"/>
  <c r="AD36" i="18"/>
  <c r="T76" i="18"/>
  <c r="Q82" i="1"/>
  <c r="AN96" i="18"/>
  <c r="P82" i="1"/>
  <c r="AX96" i="18"/>
  <c r="AD56" i="18"/>
  <c r="BF100" i="18"/>
  <c r="BF60" i="18"/>
  <c r="AB60" i="18"/>
  <c r="R40" i="18"/>
  <c r="AV40" i="18"/>
  <c r="AV100" i="18"/>
  <c r="AB40" i="18"/>
  <c r="AV80" i="18"/>
  <c r="AB100" i="18"/>
  <c r="AB20" i="18"/>
  <c r="BF80" i="18"/>
  <c r="AB80" i="18"/>
  <c r="R100" i="18"/>
  <c r="AV20" i="18"/>
  <c r="BF40" i="18"/>
  <c r="R60" i="18"/>
  <c r="AV60" i="18"/>
  <c r="BF20" i="18"/>
  <c r="AL60" i="18"/>
  <c r="AL40" i="18"/>
  <c r="AL80" i="18"/>
  <c r="R80" i="18"/>
  <c r="AL20" i="18"/>
  <c r="R20" i="18"/>
  <c r="AL100" i="18"/>
  <c r="P121" i="1"/>
  <c r="AE121" i="1" s="1"/>
  <c r="AD121" i="1" s="1"/>
  <c r="Q121" i="1"/>
  <c r="AB78" i="18"/>
  <c r="R58" i="18"/>
  <c r="AB18" i="18"/>
  <c r="AV18" i="18"/>
  <c r="AL78" i="18"/>
  <c r="R38" i="18"/>
  <c r="AV58" i="18"/>
  <c r="AL58" i="18"/>
  <c r="AV78" i="18"/>
  <c r="BF58" i="18"/>
  <c r="AL38" i="18"/>
  <c r="AV38" i="18"/>
  <c r="AL98" i="18"/>
  <c r="AB58" i="18"/>
  <c r="AB38" i="18"/>
  <c r="BF38" i="18"/>
  <c r="BF98" i="18"/>
  <c r="R98" i="18"/>
  <c r="AB98" i="18"/>
  <c r="R78" i="18"/>
  <c r="AL18" i="18"/>
  <c r="BF18" i="18"/>
  <c r="BF78" i="18"/>
  <c r="R18" i="18"/>
  <c r="P106" i="1"/>
  <c r="AE106" i="1" s="1"/>
  <c r="AD106" i="1" s="1"/>
  <c r="Q106" i="1"/>
  <c r="AV98" i="18"/>
  <c r="BD62" i="18"/>
  <c r="AT82" i="18"/>
  <c r="AT22" i="18"/>
  <c r="AT102" i="18"/>
  <c r="Z82" i="18"/>
  <c r="P42" i="18"/>
  <c r="AJ42" i="18"/>
  <c r="Z62" i="18"/>
  <c r="BD102" i="18"/>
  <c r="AT42" i="18"/>
  <c r="Z42" i="18"/>
  <c r="BD82" i="18"/>
  <c r="Z102" i="18"/>
  <c r="P62" i="18"/>
  <c r="AJ82" i="18"/>
  <c r="AJ62" i="18"/>
  <c r="P22" i="18"/>
  <c r="AJ102" i="18"/>
  <c r="Z22" i="18"/>
  <c r="BD42" i="18"/>
  <c r="P102" i="18"/>
  <c r="BD22" i="18"/>
  <c r="AJ22" i="18"/>
  <c r="P133" i="1"/>
  <c r="AE133" i="1" s="1"/>
  <c r="AD133" i="1" s="1"/>
  <c r="Q133" i="1"/>
  <c r="AT62" i="18"/>
  <c r="P82" i="18"/>
  <c r="BD74" i="18"/>
  <c r="AJ34" i="18"/>
  <c r="BD94" i="18"/>
  <c r="AT14" i="18"/>
  <c r="AJ14" i="18"/>
  <c r="Z74" i="18"/>
  <c r="BD14" i="18"/>
  <c r="Z14" i="18"/>
  <c r="Z54" i="18"/>
  <c r="AJ54" i="18"/>
  <c r="AT74" i="18"/>
  <c r="P34" i="18"/>
  <c r="P76" i="1"/>
  <c r="AE76" i="1" s="1"/>
  <c r="AD76" i="1" s="1"/>
  <c r="Z94" i="18"/>
  <c r="AT54" i="18"/>
  <c r="P94" i="18"/>
  <c r="Q76" i="1"/>
  <c r="AJ74" i="18"/>
  <c r="BD54" i="18"/>
  <c r="P54" i="18"/>
  <c r="P74" i="18"/>
  <c r="AT94" i="18"/>
  <c r="P14" i="18"/>
  <c r="AT34" i="18"/>
  <c r="BD34" i="18"/>
  <c r="Z34" i="18"/>
  <c r="AJ94" i="18"/>
  <c r="AH56" i="18"/>
  <c r="X56" i="18"/>
  <c r="AH76" i="18"/>
  <c r="AH16" i="18"/>
  <c r="BB56" i="18"/>
  <c r="N56" i="18"/>
  <c r="AR56" i="18"/>
  <c r="BB36" i="18"/>
  <c r="X96" i="18"/>
  <c r="AR96" i="18"/>
  <c r="AR16" i="18"/>
  <c r="X16" i="18"/>
  <c r="BB96" i="18"/>
  <c r="N36" i="18"/>
  <c r="N96" i="18"/>
  <c r="AR36" i="18"/>
  <c r="BB76" i="18"/>
  <c r="BB16" i="18"/>
  <c r="AH96" i="18"/>
  <c r="X76" i="18"/>
  <c r="AR76" i="18"/>
  <c r="X36" i="18"/>
  <c r="AH36" i="18"/>
  <c r="P88" i="1"/>
  <c r="AE88" i="1" s="1"/>
  <c r="AD88" i="1" s="1"/>
  <c r="Q88" i="1"/>
  <c r="N16" i="18"/>
  <c r="N76" i="18"/>
  <c r="AJ30" i="18"/>
  <c r="P70" i="18"/>
  <c r="P30" i="18"/>
  <c r="AT30" i="18"/>
  <c r="Z70" i="18"/>
  <c r="P50" i="18"/>
  <c r="AT70" i="18"/>
  <c r="AJ90" i="18"/>
  <c r="AT50" i="18"/>
  <c r="BD70" i="18"/>
  <c r="AJ50" i="18"/>
  <c r="Z50" i="18"/>
  <c r="AT10" i="18"/>
  <c r="BD50" i="18"/>
  <c r="Z30" i="18"/>
  <c r="Z90" i="18"/>
  <c r="BD30" i="18"/>
  <c r="Z10" i="18"/>
  <c r="AT90" i="18"/>
  <c r="BD10" i="18"/>
  <c r="P90" i="18"/>
  <c r="BD90" i="18"/>
  <c r="AJ10" i="18"/>
  <c r="AJ70" i="18"/>
  <c r="P10" i="18"/>
  <c r="P43" i="1"/>
  <c r="AE43" i="1" s="1"/>
  <c r="AD43" i="1" s="1"/>
  <c r="Q43" i="1"/>
  <c r="AL66" i="18"/>
  <c r="BF86" i="18"/>
  <c r="R46" i="18"/>
  <c r="AV86" i="18"/>
  <c r="AL46" i="18"/>
  <c r="AB86" i="18"/>
  <c r="AL26" i="18"/>
  <c r="R86" i="18"/>
  <c r="AB66" i="18"/>
  <c r="BF26" i="18"/>
  <c r="AV6" i="18"/>
  <c r="AB46" i="18"/>
  <c r="AV66" i="18"/>
  <c r="BF66" i="18"/>
  <c r="AB26" i="18"/>
  <c r="AL6" i="18"/>
  <c r="AV46" i="18"/>
  <c r="AB6" i="18"/>
  <c r="AV26" i="18"/>
  <c r="R26" i="18"/>
  <c r="BF46" i="18"/>
  <c r="AL86" i="18"/>
  <c r="R66" i="18"/>
  <c r="BF6" i="18"/>
  <c r="R6" i="18"/>
  <c r="P16" i="1"/>
  <c r="AE16" i="1" s="1"/>
  <c r="AD16" i="1" s="1"/>
  <c r="Q16" i="1"/>
  <c r="AL82" i="18"/>
  <c r="BF82" i="18"/>
  <c r="R62" i="18"/>
  <c r="AV62" i="18"/>
  <c r="R102" i="18"/>
  <c r="R22" i="18"/>
  <c r="AB62" i="18"/>
  <c r="AV102" i="18"/>
  <c r="R82" i="18"/>
  <c r="BF62" i="18"/>
  <c r="BF102" i="18"/>
  <c r="AL62" i="18"/>
  <c r="BF42" i="18"/>
  <c r="AV42" i="18"/>
  <c r="AL22" i="18"/>
  <c r="AL42" i="18"/>
  <c r="AV82" i="18"/>
  <c r="AB102" i="18"/>
  <c r="AB82" i="18"/>
  <c r="AV22" i="18"/>
  <c r="R42" i="18"/>
  <c r="AB42" i="18"/>
  <c r="AB22" i="18"/>
  <c r="AL102" i="18"/>
  <c r="BF22" i="18"/>
  <c r="P136" i="1"/>
  <c r="AE136" i="1" s="1"/>
  <c r="AD136" i="1" s="1"/>
  <c r="Q136" i="1"/>
  <c r="AJ84" i="18"/>
  <c r="Z84" i="18"/>
  <c r="P84" i="18"/>
  <c r="Z104" i="18"/>
  <c r="P104" i="18"/>
  <c r="BD64" i="18"/>
  <c r="Z24" i="18"/>
  <c r="P24" i="18"/>
  <c r="AT84" i="18"/>
  <c r="P44" i="18"/>
  <c r="BD84" i="18"/>
  <c r="AJ104" i="18"/>
  <c r="BD104" i="18"/>
  <c r="AT104" i="18"/>
  <c r="AJ24" i="18"/>
  <c r="BD24" i="18"/>
  <c r="AT24" i="18"/>
  <c r="Z44" i="18"/>
  <c r="P148" i="1"/>
  <c r="BD44" i="18"/>
  <c r="AT44" i="18"/>
  <c r="AJ44" i="18"/>
  <c r="P64" i="18"/>
  <c r="Q148" i="1"/>
  <c r="AT64" i="18"/>
  <c r="AJ64" i="18"/>
  <c r="Z64" i="18"/>
  <c r="Q70" i="1"/>
  <c r="P70" i="1"/>
  <c r="AE70" i="1" s="1"/>
  <c r="AD70" i="1" s="1"/>
  <c r="AF70" i="1" s="1"/>
  <c r="S249" i="19" l="1"/>
  <c r="M249" i="19"/>
  <c r="J199" i="19"/>
  <c r="V99" i="19"/>
  <c r="P199" i="19"/>
  <c r="S49" i="19"/>
  <c r="M49" i="19"/>
  <c r="M199" i="19"/>
  <c r="M99" i="19"/>
  <c r="V199" i="19"/>
  <c r="J149" i="19"/>
  <c r="J99" i="19"/>
  <c r="S149" i="19"/>
  <c r="P49" i="19"/>
  <c r="V49" i="19"/>
  <c r="P149" i="19"/>
  <c r="AF133" i="1"/>
  <c r="V149" i="19"/>
  <c r="J49" i="19"/>
  <c r="S199" i="19"/>
  <c r="M149" i="19"/>
  <c r="P99" i="19"/>
  <c r="V249" i="19"/>
  <c r="S99" i="19"/>
  <c r="P249" i="19"/>
  <c r="J249" i="19"/>
  <c r="P148" i="19"/>
  <c r="P248" i="19"/>
  <c r="J48" i="19"/>
  <c r="M148" i="19"/>
  <c r="M48" i="19"/>
  <c r="S248" i="19"/>
  <c r="J198" i="19"/>
  <c r="J148" i="19"/>
  <c r="S98" i="19"/>
  <c r="M248" i="19"/>
  <c r="V198" i="19"/>
  <c r="P98" i="19"/>
  <c r="J98" i="19"/>
  <c r="V98" i="19"/>
  <c r="M98" i="19"/>
  <c r="V148" i="19"/>
  <c r="V48" i="19"/>
  <c r="S48" i="19"/>
  <c r="S148" i="19"/>
  <c r="AF130" i="1"/>
  <c r="M198" i="19"/>
  <c r="V248" i="19"/>
  <c r="S198" i="19"/>
  <c r="P48" i="19"/>
  <c r="P198" i="19"/>
  <c r="J248" i="19"/>
  <c r="S70" i="19"/>
  <c r="J120" i="19"/>
  <c r="M120" i="19"/>
  <c r="S220" i="19"/>
  <c r="M70" i="19"/>
  <c r="P120" i="19"/>
  <c r="V120" i="19"/>
  <c r="P170" i="19"/>
  <c r="P20" i="19"/>
  <c r="P220" i="19"/>
  <c r="P70" i="19"/>
  <c r="J170" i="19"/>
  <c r="V20" i="19"/>
  <c r="J220" i="19"/>
  <c r="M170" i="19"/>
  <c r="V220" i="19"/>
  <c r="V170" i="19"/>
  <c r="J70" i="19"/>
  <c r="S170" i="19"/>
  <c r="AF46" i="1"/>
  <c r="M20" i="19"/>
  <c r="V70" i="19"/>
  <c r="M220" i="19"/>
  <c r="S120" i="19"/>
  <c r="J20" i="19"/>
  <c r="S20" i="19"/>
  <c r="S84" i="19"/>
  <c r="J134" i="19"/>
  <c r="M134" i="19"/>
  <c r="V184" i="19"/>
  <c r="S184" i="19"/>
  <c r="P84" i="19"/>
  <c r="S234" i="19"/>
  <c r="P184" i="19"/>
  <c r="P34" i="19"/>
  <c r="V134" i="19"/>
  <c r="M84" i="19"/>
  <c r="J184" i="19"/>
  <c r="S134" i="19"/>
  <c r="J234" i="19"/>
  <c r="M34" i="19"/>
  <c r="V234" i="19"/>
  <c r="V34" i="19"/>
  <c r="P134" i="19"/>
  <c r="AF91" i="1"/>
  <c r="V84" i="19"/>
  <c r="P234" i="19"/>
  <c r="S34" i="19"/>
  <c r="M234" i="19"/>
  <c r="M184" i="19"/>
  <c r="J84" i="19"/>
  <c r="J34" i="19"/>
  <c r="J147" i="19"/>
  <c r="S247" i="19"/>
  <c r="P247" i="19"/>
  <c r="M97" i="19"/>
  <c r="V197" i="19"/>
  <c r="V247" i="19"/>
  <c r="S97" i="19"/>
  <c r="V97" i="19"/>
  <c r="M147" i="19"/>
  <c r="P197" i="19"/>
  <c r="S197" i="19"/>
  <c r="P97" i="19"/>
  <c r="J247" i="19"/>
  <c r="M247" i="19"/>
  <c r="AF127" i="1"/>
  <c r="S47" i="19"/>
  <c r="M47" i="19"/>
  <c r="J97" i="19"/>
  <c r="P47" i="19"/>
  <c r="M197" i="19"/>
  <c r="S147" i="19"/>
  <c r="V47" i="19"/>
  <c r="P147" i="19"/>
  <c r="J197" i="19"/>
  <c r="V147" i="19"/>
  <c r="J47" i="19"/>
  <c r="V18" i="19"/>
  <c r="S68" i="19"/>
  <c r="M168" i="19"/>
  <c r="P118" i="19"/>
  <c r="M218" i="19"/>
  <c r="P68" i="19"/>
  <c r="V168" i="19"/>
  <c r="J218" i="19"/>
  <c r="M68" i="19"/>
  <c r="S18" i="19"/>
  <c r="J68" i="19"/>
  <c r="J118" i="19"/>
  <c r="S218" i="19"/>
  <c r="V218" i="19"/>
  <c r="M118" i="19"/>
  <c r="V118" i="19"/>
  <c r="S168" i="19"/>
  <c r="J168" i="19"/>
  <c r="P218" i="19"/>
  <c r="V68" i="19"/>
  <c r="P18" i="19"/>
  <c r="J18" i="19"/>
  <c r="S118" i="19"/>
  <c r="P168" i="19"/>
  <c r="M18" i="19"/>
  <c r="AF40" i="1"/>
  <c r="P110" i="19"/>
  <c r="J60" i="19"/>
  <c r="J110" i="19"/>
  <c r="V160" i="19"/>
  <c r="S60" i="19"/>
  <c r="P60" i="19"/>
  <c r="S210" i="19"/>
  <c r="S10" i="19"/>
  <c r="M110" i="19"/>
  <c r="V110" i="19"/>
  <c r="S160" i="19"/>
  <c r="P10" i="19"/>
  <c r="P210" i="19"/>
  <c r="V60" i="19"/>
  <c r="J160" i="19"/>
  <c r="V210" i="19"/>
  <c r="P160" i="19"/>
  <c r="M10" i="19"/>
  <c r="S110" i="19"/>
  <c r="M210" i="19"/>
  <c r="M160" i="19"/>
  <c r="AF16" i="1"/>
  <c r="V10" i="19"/>
  <c r="J210" i="19"/>
  <c r="M60" i="19"/>
  <c r="J10" i="19"/>
  <c r="S83" i="19"/>
  <c r="P83" i="19"/>
  <c r="M133" i="19"/>
  <c r="V183" i="19"/>
  <c r="S233" i="19"/>
  <c r="M183" i="19"/>
  <c r="V233" i="19"/>
  <c r="V133" i="19"/>
  <c r="P133" i="19"/>
  <c r="V33" i="19"/>
  <c r="P233" i="19"/>
  <c r="J133" i="19"/>
  <c r="S33" i="19"/>
  <c r="S133" i="19"/>
  <c r="M83" i="19"/>
  <c r="S183" i="19"/>
  <c r="P33" i="19"/>
  <c r="M233" i="19"/>
  <c r="V83" i="19"/>
  <c r="J183" i="19"/>
  <c r="J233" i="19"/>
  <c r="AF88" i="1"/>
  <c r="P183" i="19"/>
  <c r="J33" i="19"/>
  <c r="M33" i="19"/>
  <c r="J83" i="19"/>
  <c r="S140" i="19"/>
  <c r="M240" i="19"/>
  <c r="J140" i="19"/>
  <c r="V240" i="19"/>
  <c r="V40" i="19"/>
  <c r="J90" i="19"/>
  <c r="J240" i="19"/>
  <c r="S90" i="19"/>
  <c r="P140" i="19"/>
  <c r="M140" i="19"/>
  <c r="S240" i="19"/>
  <c r="S40" i="19"/>
  <c r="V90" i="19"/>
  <c r="P90" i="19"/>
  <c r="S190" i="19"/>
  <c r="P40" i="19"/>
  <c r="V190" i="19"/>
  <c r="M90" i="19"/>
  <c r="J190" i="19"/>
  <c r="V140" i="19"/>
  <c r="J40" i="19"/>
  <c r="M40" i="19"/>
  <c r="P190" i="19"/>
  <c r="AF106" i="1"/>
  <c r="M190" i="19"/>
  <c r="P240" i="19"/>
  <c r="S226" i="19"/>
  <c r="J176" i="19"/>
  <c r="M226" i="19"/>
  <c r="P26" i="19"/>
  <c r="S126" i="19"/>
  <c r="M176" i="19"/>
  <c r="S176" i="19"/>
  <c r="M126" i="19"/>
  <c r="S76" i="19"/>
  <c r="S26" i="19"/>
  <c r="V226" i="19"/>
  <c r="M26" i="19"/>
  <c r="J226" i="19"/>
  <c r="M76" i="19"/>
  <c r="V126" i="19"/>
  <c r="P226" i="19"/>
  <c r="J126" i="19"/>
  <c r="P176" i="19"/>
  <c r="P76" i="19"/>
  <c r="V26" i="19"/>
  <c r="P126" i="19"/>
  <c r="AF64" i="1"/>
  <c r="J26" i="19"/>
  <c r="V176" i="19"/>
  <c r="V76" i="19"/>
  <c r="J76" i="19"/>
  <c r="V236" i="19"/>
  <c r="V136" i="19"/>
  <c r="P186" i="19"/>
  <c r="S36" i="19"/>
  <c r="P236" i="19"/>
  <c r="M236" i="19"/>
  <c r="J36" i="19"/>
  <c r="M86" i="19"/>
  <c r="S186" i="19"/>
  <c r="S136" i="19"/>
  <c r="J236" i="19"/>
  <c r="V36" i="19"/>
  <c r="V186" i="19"/>
  <c r="V86" i="19"/>
  <c r="M36" i="19"/>
  <c r="P136" i="19"/>
  <c r="AF97" i="1"/>
  <c r="S86" i="19"/>
  <c r="M186" i="19"/>
  <c r="J86" i="19"/>
  <c r="M136" i="19"/>
  <c r="J186" i="19"/>
  <c r="S236" i="19"/>
  <c r="J136" i="19"/>
  <c r="P86" i="19"/>
  <c r="P36" i="19"/>
  <c r="V77" i="19"/>
  <c r="P27" i="19"/>
  <c r="J227" i="19"/>
  <c r="V177" i="19"/>
  <c r="P177" i="19"/>
  <c r="J177" i="19"/>
  <c r="V227" i="19"/>
  <c r="S77" i="19"/>
  <c r="M27" i="19"/>
  <c r="V127" i="19"/>
  <c r="P77" i="19"/>
  <c r="P127" i="19"/>
  <c r="S127" i="19"/>
  <c r="J77" i="19"/>
  <c r="M177" i="19"/>
  <c r="V27" i="19"/>
  <c r="S227" i="19"/>
  <c r="J127" i="19"/>
  <c r="S27" i="19"/>
  <c r="P227" i="19"/>
  <c r="M77" i="19"/>
  <c r="AF67" i="1"/>
  <c r="S177" i="19"/>
  <c r="M127" i="19"/>
  <c r="M227" i="19"/>
  <c r="J27" i="19"/>
  <c r="S13" i="19"/>
  <c r="P13" i="19"/>
  <c r="P113" i="19"/>
  <c r="S163" i="19"/>
  <c r="J163" i="19"/>
  <c r="M213" i="19"/>
  <c r="V63" i="19"/>
  <c r="M13" i="19"/>
  <c r="J213" i="19"/>
  <c r="V113" i="19"/>
  <c r="P163" i="19"/>
  <c r="M163" i="19"/>
  <c r="S113" i="19"/>
  <c r="S63" i="19"/>
  <c r="P63" i="19"/>
  <c r="V13" i="19"/>
  <c r="P213" i="19"/>
  <c r="J113" i="19"/>
  <c r="V213" i="19"/>
  <c r="J63" i="19"/>
  <c r="S213" i="19"/>
  <c r="V163" i="19"/>
  <c r="M113" i="19"/>
  <c r="J13" i="19"/>
  <c r="M63" i="19"/>
  <c r="AF25" i="1"/>
  <c r="P102" i="19"/>
  <c r="J102" i="19"/>
  <c r="M152" i="19"/>
  <c r="J52" i="19"/>
  <c r="V252" i="19"/>
  <c r="S152" i="19"/>
  <c r="J152" i="19"/>
  <c r="S252" i="19"/>
  <c r="P202" i="19"/>
  <c r="M102" i="19"/>
  <c r="V152" i="19"/>
  <c r="J202" i="19"/>
  <c r="S202" i="19"/>
  <c r="M52" i="19"/>
  <c r="P152" i="19"/>
  <c r="P252" i="19"/>
  <c r="M202" i="19"/>
  <c r="V102" i="19"/>
  <c r="S102" i="19"/>
  <c r="M252" i="19"/>
  <c r="AF142" i="1"/>
  <c r="J252" i="19"/>
  <c r="S52" i="19"/>
  <c r="V202" i="19"/>
  <c r="V52" i="19"/>
  <c r="P52" i="19"/>
  <c r="V44" i="19"/>
  <c r="S44" i="19"/>
  <c r="P44" i="19"/>
  <c r="M94" i="19"/>
  <c r="S194" i="19"/>
  <c r="J194" i="19"/>
  <c r="J44" i="19"/>
  <c r="V94" i="19"/>
  <c r="S144" i="19"/>
  <c r="M244" i="19"/>
  <c r="S94" i="19"/>
  <c r="M194" i="19"/>
  <c r="J94" i="19"/>
  <c r="V194" i="19"/>
  <c r="S244" i="19"/>
  <c r="P94" i="19"/>
  <c r="M144" i="19"/>
  <c r="J144" i="19"/>
  <c r="J244" i="19"/>
  <c r="V244" i="19"/>
  <c r="P194" i="19"/>
  <c r="V144" i="19"/>
  <c r="P144" i="19"/>
  <c r="P244" i="19"/>
  <c r="M44" i="19"/>
  <c r="AF118" i="1"/>
  <c r="S191" i="19"/>
  <c r="M41" i="19"/>
  <c r="J91" i="19"/>
  <c r="V91" i="19"/>
  <c r="M191" i="19"/>
  <c r="J191" i="19"/>
  <c r="P191" i="19"/>
  <c r="P241" i="19"/>
  <c r="J241" i="19"/>
  <c r="S141" i="19"/>
  <c r="S91" i="19"/>
  <c r="J141" i="19"/>
  <c r="M241" i="19"/>
  <c r="V41" i="19"/>
  <c r="S241" i="19"/>
  <c r="P91" i="19"/>
  <c r="P141" i="19"/>
  <c r="M141" i="19"/>
  <c r="M91" i="19"/>
  <c r="V241" i="19"/>
  <c r="V191" i="19"/>
  <c r="V141" i="19"/>
  <c r="J41" i="19"/>
  <c r="AF109" i="1"/>
  <c r="P41" i="19"/>
  <c r="S41" i="19"/>
  <c r="AE82" i="1"/>
  <c r="AE84" i="1"/>
  <c r="AD84" i="1" s="1"/>
  <c r="P124" i="19"/>
  <c r="V224" i="19"/>
  <c r="P224" i="19"/>
  <c r="S24" i="19"/>
  <c r="V124" i="19"/>
  <c r="M224" i="19"/>
  <c r="V174" i="19"/>
  <c r="M124" i="19"/>
  <c r="J174" i="19"/>
  <c r="S174" i="19"/>
  <c r="P24" i="19"/>
  <c r="J224" i="19"/>
  <c r="P174" i="19"/>
  <c r="M174" i="19"/>
  <c r="J74" i="19"/>
  <c r="S124" i="19"/>
  <c r="S74" i="19"/>
  <c r="J124" i="19"/>
  <c r="M74" i="19"/>
  <c r="J24" i="19"/>
  <c r="AF58" i="1"/>
  <c r="P74" i="19"/>
  <c r="V24" i="19"/>
  <c r="V74" i="19"/>
  <c r="M24" i="19"/>
  <c r="S224" i="19"/>
  <c r="V64" i="19"/>
  <c r="M164" i="19"/>
  <c r="P14" i="19"/>
  <c r="S64" i="19"/>
  <c r="J114" i="19"/>
  <c r="M114" i="19"/>
  <c r="S214" i="19"/>
  <c r="M64" i="19"/>
  <c r="P164" i="19"/>
  <c r="P64" i="19"/>
  <c r="P114" i="19"/>
  <c r="V14" i="19"/>
  <c r="V214" i="19"/>
  <c r="V114" i="19"/>
  <c r="M214" i="19"/>
  <c r="V164" i="19"/>
  <c r="P214" i="19"/>
  <c r="J214" i="19"/>
  <c r="S14" i="19"/>
  <c r="S114" i="19"/>
  <c r="J64" i="19"/>
  <c r="AF28" i="1"/>
  <c r="J14" i="19"/>
  <c r="J164" i="19"/>
  <c r="S164" i="19"/>
  <c r="M14" i="19"/>
  <c r="V89" i="19"/>
  <c r="M39" i="19"/>
  <c r="P139" i="19"/>
  <c r="S89" i="19"/>
  <c r="M189" i="19"/>
  <c r="J89" i="19"/>
  <c r="S239" i="19"/>
  <c r="J139" i="19"/>
  <c r="M139" i="19"/>
  <c r="P89" i="19"/>
  <c r="M89" i="19"/>
  <c r="J189" i="19"/>
  <c r="V189" i="19"/>
  <c r="V39" i="19"/>
  <c r="J39" i="19"/>
  <c r="V239" i="19"/>
  <c r="V139" i="19"/>
  <c r="P189" i="19"/>
  <c r="P39" i="19"/>
  <c r="S39" i="19"/>
  <c r="P239" i="19"/>
  <c r="M239" i="19"/>
  <c r="S189" i="19"/>
  <c r="S139" i="19"/>
  <c r="J239" i="19"/>
  <c r="AF103" i="1"/>
  <c r="V51" i="19"/>
  <c r="J251" i="19"/>
  <c r="J201" i="19"/>
  <c r="S201" i="19"/>
  <c r="J151" i="19"/>
  <c r="M51" i="19"/>
  <c r="S51" i="19"/>
  <c r="S151" i="19"/>
  <c r="J51" i="19"/>
  <c r="V201" i="19"/>
  <c r="P101" i="19"/>
  <c r="P201" i="19"/>
  <c r="P151" i="19"/>
  <c r="S251" i="19"/>
  <c r="M251" i="19"/>
  <c r="P51" i="19"/>
  <c r="M201" i="19"/>
  <c r="M151" i="19"/>
  <c r="V151" i="19"/>
  <c r="P251" i="19"/>
  <c r="J101" i="19"/>
  <c r="AF139" i="1"/>
  <c r="V251" i="19"/>
  <c r="V101" i="19"/>
  <c r="M101" i="19"/>
  <c r="S101" i="19"/>
  <c r="P229" i="19"/>
  <c r="M229" i="19"/>
  <c r="M179" i="19"/>
  <c r="V129" i="19"/>
  <c r="S129" i="19"/>
  <c r="J79" i="19"/>
  <c r="J229" i="19"/>
  <c r="V29" i="19"/>
  <c r="V79" i="19"/>
  <c r="J129" i="19"/>
  <c r="V229" i="19"/>
  <c r="P129" i="19"/>
  <c r="M129" i="19"/>
  <c r="J29" i="19"/>
  <c r="S79" i="19"/>
  <c r="S29" i="19"/>
  <c r="P179" i="19"/>
  <c r="AF76" i="1"/>
  <c r="M29" i="19"/>
  <c r="S229" i="19"/>
  <c r="S179" i="19"/>
  <c r="P29" i="19"/>
  <c r="V179" i="19"/>
  <c r="P79" i="19"/>
  <c r="M79" i="19"/>
  <c r="J179" i="19"/>
  <c r="P116" i="19"/>
  <c r="S216" i="19"/>
  <c r="P66" i="19"/>
  <c r="V166" i="19"/>
  <c r="V116" i="19"/>
  <c r="M66" i="19"/>
  <c r="S16" i="19"/>
  <c r="M116" i="19"/>
  <c r="M216" i="19"/>
  <c r="V216" i="19"/>
  <c r="P216" i="19"/>
  <c r="J166" i="19"/>
  <c r="V66" i="19"/>
  <c r="M16" i="19"/>
  <c r="J66" i="19"/>
  <c r="S116" i="19"/>
  <c r="P166" i="19"/>
  <c r="M166" i="19"/>
  <c r="V16" i="19"/>
  <c r="S166" i="19"/>
  <c r="S66" i="19"/>
  <c r="P16" i="19"/>
  <c r="J116" i="19"/>
  <c r="J216" i="19"/>
  <c r="J16" i="19"/>
  <c r="AF34" i="1"/>
  <c r="V145" i="19"/>
  <c r="M95" i="19"/>
  <c r="P45" i="19"/>
  <c r="P245" i="19"/>
  <c r="S195" i="19"/>
  <c r="J195" i="19"/>
  <c r="S145" i="19"/>
  <c r="M245" i="19"/>
  <c r="P195" i="19"/>
  <c r="V195" i="19"/>
  <c r="J245" i="19"/>
  <c r="M195" i="19"/>
  <c r="V245" i="19"/>
  <c r="V45" i="19"/>
  <c r="P95" i="19"/>
  <c r="M45" i="19"/>
  <c r="V95" i="19"/>
  <c r="P145" i="19"/>
  <c r="J95" i="19"/>
  <c r="S95" i="19"/>
  <c r="S45" i="19"/>
  <c r="J45" i="19"/>
  <c r="S245" i="19"/>
  <c r="AF121" i="1"/>
  <c r="J145" i="19"/>
  <c r="M145" i="19"/>
  <c r="S21" i="19"/>
  <c r="P121" i="19"/>
  <c r="P221" i="19"/>
  <c r="S171" i="19"/>
  <c r="P21" i="19"/>
  <c r="M221" i="19"/>
  <c r="V71" i="19"/>
  <c r="J171" i="19"/>
  <c r="J221" i="19"/>
  <c r="P171" i="19"/>
  <c r="M21" i="19"/>
  <c r="M71" i="19"/>
  <c r="V171" i="19"/>
  <c r="V221" i="19"/>
  <c r="M171" i="19"/>
  <c r="V121" i="19"/>
  <c r="S71" i="19"/>
  <c r="P71" i="19"/>
  <c r="S121" i="19"/>
  <c r="J71" i="19"/>
  <c r="S221" i="19"/>
  <c r="V21" i="19"/>
  <c r="M121" i="19"/>
  <c r="AF49" i="1"/>
  <c r="J121" i="19"/>
  <c r="J21" i="19"/>
  <c r="V169" i="19"/>
  <c r="P219" i="19"/>
  <c r="P69" i="19"/>
  <c r="S19" i="19"/>
  <c r="P119" i="19"/>
  <c r="M69" i="19"/>
  <c r="S169" i="19"/>
  <c r="P19" i="19"/>
  <c r="M219" i="19"/>
  <c r="V69" i="19"/>
  <c r="J169" i="19"/>
  <c r="J219" i="19"/>
  <c r="P169" i="19"/>
  <c r="S69" i="19"/>
  <c r="S119" i="19"/>
  <c r="M119" i="19"/>
  <c r="V219" i="19"/>
  <c r="S219" i="19"/>
  <c r="M169" i="19"/>
  <c r="J19" i="19"/>
  <c r="AF43" i="1"/>
  <c r="V19" i="19"/>
  <c r="V119" i="19"/>
  <c r="M19" i="19"/>
  <c r="J119" i="19"/>
  <c r="J69" i="19"/>
  <c r="S178" i="19"/>
  <c r="S128" i="19"/>
  <c r="J228" i="19"/>
  <c r="V178" i="19"/>
  <c r="M28" i="19"/>
  <c r="J78" i="19"/>
  <c r="V78" i="19"/>
  <c r="P128" i="19"/>
  <c r="J178" i="19"/>
  <c r="S78" i="19"/>
  <c r="M178" i="19"/>
  <c r="M128" i="19"/>
  <c r="P78" i="19"/>
  <c r="J128" i="19"/>
  <c r="P28" i="19"/>
  <c r="V228" i="19"/>
  <c r="V128" i="19"/>
  <c r="M78" i="19"/>
  <c r="P228" i="19"/>
  <c r="V28" i="19"/>
  <c r="M228" i="19"/>
  <c r="P178" i="19"/>
  <c r="S228" i="19"/>
  <c r="S28" i="19"/>
  <c r="J28" i="19"/>
  <c r="AF73" i="1"/>
  <c r="S192" i="19"/>
  <c r="P242" i="19"/>
  <c r="M242" i="19"/>
  <c r="M42" i="19"/>
  <c r="V92" i="19"/>
  <c r="S142" i="19"/>
  <c r="V242" i="19"/>
  <c r="P192" i="19"/>
  <c r="V42" i="19"/>
  <c r="J92" i="19"/>
  <c r="S92" i="19"/>
  <c r="P142" i="19"/>
  <c r="S42" i="19"/>
  <c r="S242" i="19"/>
  <c r="M192" i="19"/>
  <c r="M142" i="19"/>
  <c r="P92" i="19"/>
  <c r="J142" i="19"/>
  <c r="P42" i="19"/>
  <c r="V192" i="19"/>
  <c r="M92" i="19"/>
  <c r="J192" i="19"/>
  <c r="J42" i="19"/>
  <c r="AF112" i="1"/>
  <c r="V142" i="19"/>
  <c r="J242" i="19"/>
  <c r="M146" i="19"/>
  <c r="J246" i="19"/>
  <c r="S96" i="19"/>
  <c r="AF124" i="1"/>
  <c r="S46" i="19"/>
  <c r="M46" i="19"/>
  <c r="J46" i="19"/>
  <c r="M96" i="19"/>
  <c r="P146" i="19"/>
  <c r="S246" i="19"/>
  <c r="V96" i="19"/>
  <c r="V146" i="19"/>
  <c r="M196" i="19"/>
  <c r="P196" i="19"/>
  <c r="V46" i="19"/>
  <c r="S196" i="19"/>
  <c r="P96" i="19"/>
  <c r="J146" i="19"/>
  <c r="V246" i="19"/>
  <c r="P46" i="19"/>
  <c r="V196" i="19"/>
  <c r="J196" i="19"/>
  <c r="P246" i="19"/>
  <c r="J96" i="19"/>
  <c r="S146" i="19"/>
  <c r="M246" i="19"/>
  <c r="S30" i="19"/>
  <c r="P80" i="19"/>
  <c r="J80" i="19"/>
  <c r="S180" i="19"/>
  <c r="P30" i="19"/>
  <c r="J180" i="19"/>
  <c r="V180" i="19"/>
  <c r="P230" i="19"/>
  <c r="M230" i="19"/>
  <c r="V80" i="19"/>
  <c r="M30" i="19"/>
  <c r="J230" i="19"/>
  <c r="S130" i="19"/>
  <c r="P180" i="19"/>
  <c r="V130" i="19"/>
  <c r="V230" i="19"/>
  <c r="S80" i="19"/>
  <c r="M180" i="19"/>
  <c r="V30" i="19"/>
  <c r="S230" i="19"/>
  <c r="J130" i="19"/>
  <c r="M130" i="19"/>
  <c r="M80" i="19"/>
  <c r="J30" i="19"/>
  <c r="AF79" i="1"/>
  <c r="P130" i="19"/>
  <c r="V212" i="19"/>
  <c r="V162" i="19"/>
  <c r="J62" i="19"/>
  <c r="J12" i="19"/>
  <c r="V62" i="19"/>
  <c r="S12" i="19"/>
  <c r="P162" i="19"/>
  <c r="S112" i="19"/>
  <c r="S62" i="19"/>
  <c r="P62" i="19"/>
  <c r="M112" i="19"/>
  <c r="S212" i="19"/>
  <c r="J112" i="19"/>
  <c r="S162" i="19"/>
  <c r="M212" i="19"/>
  <c r="V112" i="19"/>
  <c r="M62" i="19"/>
  <c r="P12" i="19"/>
  <c r="AF22" i="1"/>
  <c r="P112" i="19"/>
  <c r="M162" i="19"/>
  <c r="M12" i="19"/>
  <c r="P212" i="19"/>
  <c r="J162" i="19"/>
  <c r="J212" i="19"/>
  <c r="V12" i="19"/>
  <c r="V15" i="19"/>
  <c r="M65" i="19"/>
  <c r="J215" i="19"/>
  <c r="P115" i="19"/>
  <c r="M215" i="19"/>
  <c r="M165" i="19"/>
  <c r="V165" i="19"/>
  <c r="J65" i="19"/>
  <c r="J115" i="19"/>
  <c r="S65" i="19"/>
  <c r="S15" i="19"/>
  <c r="M115" i="19"/>
  <c r="S215" i="19"/>
  <c r="V215" i="19"/>
  <c r="P165" i="19"/>
  <c r="M15" i="19"/>
  <c r="V115" i="19"/>
  <c r="S165" i="19"/>
  <c r="P15" i="19"/>
  <c r="J15" i="19"/>
  <c r="P65" i="19"/>
  <c r="P215" i="19"/>
  <c r="V65" i="19"/>
  <c r="J165" i="19"/>
  <c r="AF31" i="1"/>
  <c r="S115" i="19"/>
  <c r="V67" i="19"/>
  <c r="M167" i="19"/>
  <c r="M117" i="19"/>
  <c r="P167" i="19"/>
  <c r="V167" i="19"/>
  <c r="J117" i="19"/>
  <c r="S67" i="19"/>
  <c r="P67" i="19"/>
  <c r="J167" i="19"/>
  <c r="S217" i="19"/>
  <c r="M67" i="19"/>
  <c r="M17" i="19"/>
  <c r="V117" i="19"/>
  <c r="M217" i="19"/>
  <c r="P17" i="19"/>
  <c r="P217" i="19"/>
  <c r="J217" i="19"/>
  <c r="S17" i="19"/>
  <c r="V217" i="19"/>
  <c r="S117" i="19"/>
  <c r="J67" i="19"/>
  <c r="P117" i="19"/>
  <c r="J17" i="19"/>
  <c r="AF37" i="1"/>
  <c r="V17" i="19"/>
  <c r="S167" i="19"/>
  <c r="S57" i="19"/>
  <c r="M57" i="19"/>
  <c r="S107" i="19"/>
  <c r="J7" i="19"/>
  <c r="V57" i="19"/>
  <c r="J57" i="19"/>
  <c r="AF10" i="1"/>
  <c r="P7" i="19"/>
  <c r="J207" i="19"/>
  <c r="S7" i="19"/>
  <c r="P157" i="19"/>
  <c r="V107" i="19"/>
  <c r="V207" i="19"/>
  <c r="V7" i="19"/>
  <c r="M7" i="19"/>
  <c r="P107" i="19"/>
  <c r="S207" i="19"/>
  <c r="M107" i="19"/>
  <c r="P57" i="19"/>
  <c r="V157" i="19"/>
  <c r="M207" i="19"/>
  <c r="S157" i="19"/>
  <c r="P207" i="19"/>
  <c r="M157" i="19"/>
  <c r="J107" i="19"/>
  <c r="J157" i="19"/>
  <c r="V185" i="19"/>
  <c r="S85" i="19"/>
  <c r="V235" i="19"/>
  <c r="V135" i="19"/>
  <c r="P135" i="19"/>
  <c r="P85" i="19"/>
  <c r="S135" i="19"/>
  <c r="J85" i="19"/>
  <c r="M35" i="19"/>
  <c r="V35" i="19"/>
  <c r="P235" i="19"/>
  <c r="M185" i="19"/>
  <c r="S35" i="19"/>
  <c r="M135" i="19"/>
  <c r="J135" i="19"/>
  <c r="S185" i="19"/>
  <c r="S235" i="19"/>
  <c r="J235" i="19"/>
  <c r="V85" i="19"/>
  <c r="P35" i="19"/>
  <c r="M85" i="19"/>
  <c r="P185" i="19"/>
  <c r="AF94" i="1"/>
  <c r="J185" i="19"/>
  <c r="J35" i="19"/>
  <c r="M235" i="19"/>
  <c r="V206" i="19"/>
  <c r="P206" i="19"/>
  <c r="V6" i="19"/>
  <c r="V156" i="19"/>
  <c r="S106" i="19"/>
  <c r="M56" i="19"/>
  <c r="P156" i="19"/>
  <c r="S6" i="19"/>
  <c r="P106" i="19"/>
  <c r="M206" i="19"/>
  <c r="J6" i="19"/>
  <c r="S156" i="19"/>
  <c r="M6" i="19"/>
  <c r="J206" i="19"/>
  <c r="AF7" i="1"/>
  <c r="V56" i="19"/>
  <c r="M156" i="19"/>
  <c r="J56" i="19"/>
  <c r="V106" i="19"/>
  <c r="M106" i="19"/>
  <c r="S56" i="19"/>
  <c r="P56" i="19"/>
  <c r="J156" i="19"/>
  <c r="S206" i="19"/>
  <c r="J106" i="19"/>
  <c r="P6" i="19"/>
  <c r="V223" i="19"/>
  <c r="P123" i="19"/>
  <c r="M123" i="19"/>
  <c r="S73" i="19"/>
  <c r="S23" i="19"/>
  <c r="P23" i="19"/>
  <c r="J23" i="19"/>
  <c r="M223" i="19"/>
  <c r="S223" i="19"/>
  <c r="V173" i="19"/>
  <c r="J173" i="19"/>
  <c r="AF55" i="1"/>
  <c r="V73" i="19"/>
  <c r="J223" i="19"/>
  <c r="P73" i="19"/>
  <c r="S173" i="19"/>
  <c r="M23" i="19"/>
  <c r="P223" i="19"/>
  <c r="V123" i="19"/>
  <c r="M73" i="19"/>
  <c r="M173" i="19"/>
  <c r="J123" i="19"/>
  <c r="V23" i="19"/>
  <c r="P173" i="19"/>
  <c r="S123" i="19"/>
  <c r="J73" i="19"/>
  <c r="V172" i="19"/>
  <c r="S122" i="19"/>
  <c r="V22" i="19"/>
  <c r="S172" i="19"/>
  <c r="M22" i="19"/>
  <c r="J72" i="19"/>
  <c r="V72" i="19"/>
  <c r="M172" i="19"/>
  <c r="M122" i="19"/>
  <c r="S222" i="19"/>
  <c r="M72" i="19"/>
  <c r="P122" i="19"/>
  <c r="P72" i="19"/>
  <c r="P172" i="19"/>
  <c r="J172" i="19"/>
  <c r="M222" i="19"/>
  <c r="J222" i="19"/>
  <c r="V222" i="19"/>
  <c r="P22" i="19"/>
  <c r="J22" i="19"/>
  <c r="S22" i="19"/>
  <c r="S72" i="19"/>
  <c r="AF52" i="1"/>
  <c r="V122" i="19"/>
  <c r="J122" i="19"/>
  <c r="P222" i="19"/>
  <c r="S75" i="19"/>
  <c r="M175" i="19"/>
  <c r="M25" i="19"/>
  <c r="S225" i="19"/>
  <c r="M75" i="19"/>
  <c r="P25" i="19"/>
  <c r="V225" i="19"/>
  <c r="M225" i="19"/>
  <c r="J125" i="19"/>
  <c r="V125" i="19"/>
  <c r="J225" i="19"/>
  <c r="J175" i="19"/>
  <c r="V175" i="19"/>
  <c r="P225" i="19"/>
  <c r="P75" i="19"/>
  <c r="S175" i="19"/>
  <c r="S125" i="19"/>
  <c r="J75" i="19"/>
  <c r="V75" i="19"/>
  <c r="V25" i="19"/>
  <c r="S25" i="19"/>
  <c r="J25" i="19"/>
  <c r="P175" i="19"/>
  <c r="AF61" i="1"/>
  <c r="P125" i="19"/>
  <c r="M125" i="19"/>
  <c r="S108" i="19"/>
  <c r="P108" i="19"/>
  <c r="J158" i="19"/>
  <c r="J8" i="19"/>
  <c r="M158" i="19"/>
  <c r="AF13" i="1"/>
  <c r="V158" i="19"/>
  <c r="V108" i="19"/>
  <c r="M108" i="19"/>
  <c r="S158" i="19"/>
  <c r="P8" i="19"/>
  <c r="P208" i="19"/>
  <c r="M8" i="19"/>
  <c r="S58" i="19"/>
  <c r="S208" i="19"/>
  <c r="V58" i="19"/>
  <c r="V8" i="19"/>
  <c r="J58" i="19"/>
  <c r="M208" i="19"/>
  <c r="P158" i="19"/>
  <c r="P58" i="19"/>
  <c r="M58" i="19"/>
  <c r="S8" i="19"/>
  <c r="V208" i="19"/>
  <c r="J108" i="19"/>
  <c r="J208" i="19"/>
  <c r="V211" i="19"/>
  <c r="S211" i="19"/>
  <c r="P61" i="19"/>
  <c r="V11" i="19"/>
  <c r="V111" i="19"/>
  <c r="J111" i="19"/>
  <c r="V161" i="19"/>
  <c r="P211" i="19"/>
  <c r="M61" i="19"/>
  <c r="S11" i="19"/>
  <c r="P11" i="19"/>
  <c r="P111" i="19"/>
  <c r="S161" i="19"/>
  <c r="J161" i="19"/>
  <c r="M211" i="19"/>
  <c r="V61" i="19"/>
  <c r="M11" i="19"/>
  <c r="J211" i="19"/>
  <c r="P161" i="19"/>
  <c r="M161" i="19"/>
  <c r="J61" i="19"/>
  <c r="AF19" i="1"/>
  <c r="J11" i="19"/>
  <c r="S61" i="19"/>
  <c r="S111" i="19"/>
  <c r="M111" i="19"/>
  <c r="J50" i="19"/>
  <c r="P100" i="19"/>
  <c r="S100" i="19"/>
  <c r="S50" i="19"/>
  <c r="J250" i="19"/>
  <c r="V250" i="19"/>
  <c r="J150" i="19"/>
  <c r="J100" i="19"/>
  <c r="P250" i="19"/>
  <c r="M50" i="19"/>
  <c r="V100" i="19"/>
  <c r="M150" i="19"/>
  <c r="J200" i="19"/>
  <c r="S200" i="19"/>
  <c r="S250" i="19"/>
  <c r="M100" i="19"/>
  <c r="M250" i="19"/>
  <c r="P150" i="19"/>
  <c r="V200" i="19"/>
  <c r="P200" i="19"/>
  <c r="V150" i="19"/>
  <c r="P50" i="19"/>
  <c r="S150" i="19"/>
  <c r="M200" i="19"/>
  <c r="V50" i="19"/>
  <c r="AF136" i="1"/>
  <c r="V43" i="19"/>
  <c r="J93" i="19"/>
  <c r="M93" i="19"/>
  <c r="P143" i="19"/>
  <c r="P93" i="19"/>
  <c r="J143" i="19"/>
  <c r="V243" i="19"/>
  <c r="S43" i="19"/>
  <c r="M143" i="19"/>
  <c r="S93" i="19"/>
  <c r="V193" i="19"/>
  <c r="S193" i="19"/>
  <c r="P43" i="19"/>
  <c r="S243" i="19"/>
  <c r="V93" i="19"/>
  <c r="J193" i="19"/>
  <c r="V143" i="19"/>
  <c r="P193" i="19"/>
  <c r="M43" i="19"/>
  <c r="P243" i="19"/>
  <c r="M243" i="19"/>
  <c r="M193" i="19"/>
  <c r="S143" i="19"/>
  <c r="AF115" i="1"/>
  <c r="J243" i="19"/>
  <c r="J43" i="19"/>
  <c r="S232" i="19"/>
  <c r="V82" i="19"/>
  <c r="P82" i="19"/>
  <c r="V132" i="19"/>
  <c r="P182" i="19"/>
  <c r="M32" i="19"/>
  <c r="P232" i="19"/>
  <c r="M232" i="19"/>
  <c r="M182" i="19"/>
  <c r="S132" i="19"/>
  <c r="J232" i="19"/>
  <c r="S82" i="19"/>
  <c r="P132" i="19"/>
  <c r="M132" i="19"/>
  <c r="M82" i="19"/>
  <c r="V232" i="19"/>
  <c r="S32" i="19"/>
  <c r="P32" i="19"/>
  <c r="S182" i="19"/>
  <c r="AF85" i="1"/>
  <c r="J82" i="19"/>
  <c r="J182" i="19"/>
  <c r="J132" i="19"/>
  <c r="V32" i="19"/>
  <c r="V182" i="19"/>
  <c r="J32" i="19"/>
  <c r="X231" i="19" l="1"/>
  <c r="R131" i="19"/>
  <c r="R31" i="19"/>
  <c r="L31" i="19"/>
  <c r="U181" i="19"/>
  <c r="X81" i="19"/>
  <c r="U81" i="19"/>
  <c r="U31" i="19"/>
  <c r="L181" i="19"/>
  <c r="U131" i="19"/>
  <c r="L231" i="19"/>
  <c r="U231" i="19"/>
  <c r="X31" i="19"/>
  <c r="AF84" i="1"/>
  <c r="R81" i="19"/>
  <c r="O81" i="19"/>
  <c r="O31" i="19"/>
  <c r="X131" i="19"/>
  <c r="O231" i="19"/>
  <c r="R181" i="19"/>
  <c r="X181" i="19"/>
  <c r="O181" i="19"/>
  <c r="R231" i="19"/>
  <c r="L81" i="19"/>
  <c r="L131" i="19"/>
  <c r="O131" i="19"/>
  <c r="AD82" i="1"/>
  <c r="AE83" i="1"/>
  <c r="AD83" i="1" s="1"/>
  <c r="V81" i="19" l="1"/>
  <c r="V31" i="19"/>
  <c r="J81" i="19"/>
  <c r="P181" i="19"/>
  <c r="M181" i="19"/>
  <c r="P81" i="19"/>
  <c r="J31" i="19"/>
  <c r="V231" i="19"/>
  <c r="V181" i="19"/>
  <c r="S81" i="19"/>
  <c r="J131" i="19"/>
  <c r="M131" i="19"/>
  <c r="S231" i="19"/>
  <c r="S31" i="19"/>
  <c r="J181" i="19"/>
  <c r="V131" i="19"/>
  <c r="P131" i="19"/>
  <c r="P31" i="19"/>
  <c r="AF82" i="1"/>
  <c r="P231" i="19"/>
  <c r="M31" i="19"/>
  <c r="S181" i="19"/>
  <c r="M231" i="19"/>
  <c r="J231" i="19"/>
  <c r="M81" i="19"/>
  <c r="S131" i="19"/>
  <c r="W81" i="19"/>
  <c r="K131" i="19"/>
  <c r="Q31" i="19"/>
  <c r="T81" i="19"/>
  <c r="Q131" i="19"/>
  <c r="K181" i="19"/>
  <c r="AF83" i="1"/>
  <c r="K31" i="19"/>
  <c r="T31" i="19"/>
  <c r="T231" i="19"/>
  <c r="N81" i="19"/>
  <c r="T181" i="19"/>
  <c r="W131" i="19"/>
  <c r="N231" i="19"/>
  <c r="Q181" i="19"/>
  <c r="Q231" i="19"/>
  <c r="K231" i="19"/>
  <c r="N31" i="19"/>
  <c r="K81" i="19"/>
  <c r="N181" i="19"/>
  <c r="T131" i="19"/>
  <c r="W181" i="19"/>
  <c r="Q81" i="19"/>
  <c r="W231" i="19"/>
  <c r="W31" i="19"/>
  <c r="N131"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<sst xmlns="http://schemas.openxmlformats.org/spreadsheetml/2006/main" count="2416" uniqueCount="872">
  <si>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</si>
  <si>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</si>
  <si>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</si>
  <si>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</si>
  <si>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</si>
  <si>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</si>
  <si>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</si>
  <si>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</si>
  <si>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</si>
  <si>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</si>
  <si>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</si>
  <si>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</si>
  <si>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</si>
  <si>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</si>
  <si>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</si>
  <si>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</si>
  <si>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</si>
  <si>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</si>
  <si>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</si>
  <si>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</si>
  <si>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</si>
  <si>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</si>
  <si>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</si>
  <si>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</si>
  <si>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</si>
  <si>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</si>
  <si>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</si>
  <si>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</si>
  <si>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</si>
  <si>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</si>
  <si>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</si>
  <si>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</si>
  <si>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</si>
  <si>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</si>
  <si>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</si>
  <si>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</si>
  <si>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</si>
  <si>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</si>
  <si>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</si>
  <si>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</si>
  <si>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</si>
  <si>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</si>
  <si>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</si>
  <si>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</si>
  <si>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</si>
  <si>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</si>
  <si>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</si>
  <si>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</si>
  <si>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</si>
  <si>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</si>
  <si>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</si>
  <si>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</si>
  <si>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</si>
  <si>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</si>
  <si>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</si>
  <si>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</si>
  <si>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</si>
  <si>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</si>
  <si>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</si>
  <si>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</si>
  <si>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</si>
  <si>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</si>
  <si>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</si>
  <si>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</si>
  <si>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</si>
  <si>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</si>
  <si>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</si>
  <si>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</si>
  <si>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</si>
  <si>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</si>
  <si>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</si>
  <si>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</si>
  <si>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</si>
  <si>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</si>
  <si>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</si>
  <si>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</si>
  <si>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</si>
  <si>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</si>
  <si>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</si>
  <si>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</si>
  <si>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</si>
  <si>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</si>
  <si>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</si>
  <si>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</si>
  <si>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</si>
  <si>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</si>
  <si>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</si>
  <si>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</si>
  <si>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</si>
  <si>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</si>
  <si>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</si>
  <si>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</si>
  <si>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</si>
  <si>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</si>
  <si>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</si>
  <si>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</si>
  <si>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</si>
  <si>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</si>
  <si>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</si>
  <si>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</si>
  <si>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</si>
  <si>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</si>
  <si>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</si>
  <si>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</si>
  <si>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</si>
  <si>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</si>
  <si>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</si>
  <si>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</si>
  <si>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</si>
  <si>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</si>
  <si>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</si>
  <si>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</si>
  <si>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</si>
  <si>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</si>
  <si>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</si>
  <si>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</si>
  <si>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</si>
  <si>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</si>
  <si>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</si>
  <si>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</si>
  <si>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</si>
  <si>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</si>
  <si>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</si>
  <si>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</si>
  <si>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</si>
  <si>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</si>
  <si>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</si>
  <si>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</si>
  <si>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</si>
  <si>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</si>
  <si>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</si>
  <si>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</si>
  <si>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</si>
  <si>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</si>
  <si>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</si>
  <si>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</si>
  <si>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</si>
  <si>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</si>
  <si>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</si>
  <si>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</si>
  <si>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</si>
  <si>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</si>
  <si>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</si>
  <si>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</si>
  <si>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</si>
  <si>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</si>
  <si>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</si>
  <si>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</si>
  <si>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</si>
  <si>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</si>
  <si>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</si>
  <si>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</si>
  <si>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</si>
  <si>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</si>
  <si>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</si>
  <si>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</si>
  <si>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</si>
  <si>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</si>
  <si>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</si>
  <si>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</si>
  <si>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</si>
  <si>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</si>
  <si>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</si>
  <si>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</si>
  <si>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</si>
  <si>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</si>
  <si>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</si>
  <si>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</si>
  <si>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</si>
  <si>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</si>
  <si>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</si>
  <si>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</si>
  <si>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</si>
  <si>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</si>
  <si>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</si>
  <si>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</si>
  <si>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</si>
  <si>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</si>
  <si>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</si>
  <si>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</si>
  <si>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</si>
  <si>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</si>
  <si>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</si>
  <si>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</si>
  <si>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</si>
  <si>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</si>
  <si>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</si>
  <si>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</si>
  <si>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</si>
  <si>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</si>
  <si>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</si>
  <si>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</si>
  <si>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</si>
  <si>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</si>
  <si>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</si>
  <si>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</si>
  <si>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</si>
  <si>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</si>
  <si>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</si>
  <si>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</si>
  <si>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</si>
  <si>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</si>
  <si>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</si>
  <si>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</si>
  <si>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</si>
  <si>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</si>
  <si>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</si>
  <si>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</si>
  <si>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</si>
  <si>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</si>
  <si>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</si>
  <si>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</si>
  <si>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</si>
  <si>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</si>
  <si>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</si>
  <si>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</si>
  <si>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</si>
  <si>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</si>
  <si>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</si>
  <si>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</si>
  <si>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</si>
  <si>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</si>
  <si>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</si>
  <si>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</si>
  <si>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</si>
  <si>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</si>
  <si>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</si>
  <si>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</si>
  <si>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</si>
  <si>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</si>
  <si>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Generar la reprogramación y actualización de los cronogramas y metas de la vigencia así mismo informar a la Subgerencia de Planeación y Administración de Proyectos.</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</si>
  <si>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</si>
  <si>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</si>
  <si>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</si>
  <si>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</si>
  <si>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</si>
  <si>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</si>
  <si>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</si>
  <si>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</si>
  <si>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</si>
  <si>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</si>
  <si>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</si>
  <si>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</si>
  <si>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</si>
  <si>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</si>
  <si>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</si>
  <si>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</si>
  <si>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</si>
  <si>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</si>
  <si>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</si>
  <si>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</si>
  <si>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</si>
  <si>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</si>
  <si>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tramite de instrucciones fiduciarias, y en caso de detectar retrasos, generar las alertas a los responsables.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</si>
  <si>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</si>
  <si>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</si>
  <si>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</si>
  <si>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</si>
  <si>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</si>
  <si>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</si>
  <si>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</si>
  <si>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</si>
  <si>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</si>
  <si>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</si>
  <si>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</si>
  <si>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</si>
  <si>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</si>
  <si>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Los supervisores realizan de mantera trimestral, los informes de seguimiento de acuerdo con lo establecido en las obligaciones de cada convenio, identificando las posibles alertas que se puedan generar en el adecuado desarrollo de los mismos.</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</si>
  <si>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</si>
  <si>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</si>
  <si>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</si>
  <si>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</si>
  <si>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</si>
  <si>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</si>
  <si>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</si>
  <si>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</si>
  <si>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</si>
  <si>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</si>
  <si>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</si>
  <si>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</si>
  <si>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</si>
  <si>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</si>
  <si>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</si>
  <si>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</si>
  <si>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</si>
  <si>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Gestión Documental</t>
  </si>
  <si>
    <t>Enero</t>
  </si>
  <si>
    <t>Diciembre</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</si>
  <si>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</si>
  <si>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</si>
  <si>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</si>
  <si>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</si>
  <si>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</si>
  <si>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</si>
  <si>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</si>
  <si>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</si>
  <si>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</si>
  <si>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</si>
  <si>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</si>
  <si>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</si>
  <si>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</si>
  <si>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</si>
  <si>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</si>
  <si>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</si>
  <si>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</si>
  <si>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</si>
  <si>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</si>
  <si>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</si>
  <si>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</si>
  <si>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</si>
  <si>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</si>
  <si>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</si>
  <si>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</si>
  <si>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</si>
  <si>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</si>
  <si>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</si>
  <si>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</si>
  <si>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</si>
  <si>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</si>
  <si>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</si>
  <si>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</si>
  <si>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</si>
  <si>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 xml:space="preserve">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</si>
  <si>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</si>
  <si>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</si>
  <si>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1. Establecer el ranking de auditores para valorar el desempeño del auditor.
2. Realizar el análisis semestral del estado de adopción y efectividad de las recomendaciones surtidas en los informes legales, se seguimiento o de auditoria.</t>
  </si>
  <si>
    <t>2. Realizar ejercicios de capacitación y referenciación para reconocer las tendencias y buenas prácticas en el ejercicio de la auditoria interna.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</si>
  <si>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</si>
  <si>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</si>
  <si>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</si>
  <si>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</si>
  <si>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Sustracción, alteración o inclusión de documentos en los expedientes documentales que se encuentran en custodia del proceso para beneficiar a terceros.</t>
  </si>
  <si>
    <t>Detective</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</si>
  <si>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</si>
  <si>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</si>
  <si>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</si>
  <si>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</si>
  <si>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</si>
  <si>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</si>
  <si>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</si>
  <si>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</si>
  <si>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</si>
  <si>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</si>
  <si>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</si>
  <si>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</si>
  <si>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</si>
  <si>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</si>
  <si>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</si>
  <si>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</si>
  <si>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</si>
  <si>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</si>
  <si>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</si>
  <si>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</si>
  <si>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</si>
  <si>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</si>
  <si>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Gestionar la elaboración de los estudios, diseños técnicos y urbanísticos; ejecutar las obras de urbanismo y construcción necesarias para el desarrollo de los proyectos de la empresa y entregar las cesiones públicas a empresas de servicios públicos, IDU, IDRD y al DADEP.</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</si>
  <si>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</si>
  <si>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</si>
  <si>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</si>
  <si>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</si>
  <si>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</si>
  <si>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</si>
  <si>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</si>
  <si>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</si>
  <si>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</si>
  <si>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</si>
  <si>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Informar a las instancias internas y externas de control que corresponda.</t>
  </si>
  <si>
    <t>Incumplimiento de los requisitos técnicos.</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</si>
  <si>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</si>
  <si>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</si>
  <si>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</si>
  <si>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</si>
  <si>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</si>
  <si>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</si>
  <si>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</si>
  <si>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</si>
  <si>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</si>
  <si>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</si>
  <si>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</si>
  <si>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</si>
  <si>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</si>
  <si>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</si>
  <si>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</si>
  <si>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</si>
  <si>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</si>
  <si>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</si>
  <si>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</si>
  <si>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</si>
  <si>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</si>
  <si>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</si>
  <si>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</si>
  <si>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</si>
  <si>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</si>
  <si>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</si>
  <si>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</si>
  <si>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</si>
  <si>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</si>
  <si>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</si>
  <si>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</si>
  <si>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</si>
  <si>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</si>
  <si>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</si>
  <si>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</si>
  <si>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</si>
  <si>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</si>
  <si>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</si>
  <si>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</si>
  <si>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</si>
  <si>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</si>
  <si>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</si>
  <si>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</si>
  <si>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</si>
  <si>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</si>
  <si>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</si>
  <si>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</si>
  <si>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</si>
  <si>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El profesional de tesorería cada vez que se recepciona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tramite de pago cumple con todos los requisitos establecidos continua el tramite de pago, en caso de presentarse inconsistencia se devuelve al tercero, ( a través del sistema de información y se informa a través de correo electrónico).</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</si>
  <si>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</si>
  <si>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</si>
  <si>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</si>
  <si>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</si>
  <si>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</si>
  <si>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</si>
  <si>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</si>
  <si>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</si>
  <si>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</si>
  <si>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</si>
  <si>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</si>
  <si>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</si>
  <si>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</si>
  <si>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</si>
  <si>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</si>
  <si>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</si>
  <si>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</si>
  <si>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</si>
  <si>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</si>
  <si>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</si>
  <si>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</si>
  <si>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Generación de alertas inoportunas.</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</si>
  <si>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</si>
  <si>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</si>
  <si>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</si>
  <si>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</si>
  <si>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</si>
  <si>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</si>
  <si>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</si>
  <si>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No contar con los contratos que suministren bienes y servicios para la gestión y funcionamiento de la Empresa.</t>
  </si>
  <si>
    <t>Seguimiento inadecuado en los préstamos documentales y consultas en sala.</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</si>
  <si>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</si>
  <si>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</si>
  <si>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</si>
  <si>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</si>
  <si>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</si>
  <si>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</si>
  <si>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</si>
  <si>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</si>
  <si>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</si>
  <si>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</si>
  <si>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</si>
  <si>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</si>
  <si>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</si>
  <si>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</si>
  <si>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</si>
  <si>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</si>
  <si>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</si>
  <si>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</si>
  <si>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</si>
  <si>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</si>
  <si>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</si>
  <si>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</si>
  <si>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</si>
  <si>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</si>
  <si>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Falta de conocimiento frente a la norma, la política y al manejo de las PQRS.</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</si>
  <si>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</si>
  <si>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</si>
  <si>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</si>
  <si>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</si>
  <si>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</si>
  <si>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</si>
  <si>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</si>
  <si>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1. Gestionar el plan de mejoramiento producto de los resultados de la auditoría externa de pares realizada en la vigencia 2021 con el objeto de evaluar el estado de desempeño del proceso de Evaluación y Seguimiento de la Empresa.</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</si>
  <si>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</si>
  <si>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</si>
  <si>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</si>
  <si>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</si>
  <si>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</si>
  <si>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</si>
  <si>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</si>
  <si>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</si>
  <si>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</si>
  <si>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</si>
  <si>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</si>
  <si>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</si>
  <si>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</si>
  <si>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</si>
  <si>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</si>
  <si>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</si>
  <si>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</si>
  <si>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</si>
  <si>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</si>
  <si>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</si>
  <si>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</si>
  <si>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</si>
  <si>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</si>
  <si>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</si>
  <si>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</si>
  <si>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</si>
  <si>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</si>
  <si>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Asistencia Reunión de Apertura) </t>
  </si>
  <si>
    <t>Realizar socialización del Estatuto y Código de Ética de Auditoria a los Auditores mínimo una vez año.</t>
  </si>
  <si>
    <t>3. Documentar dentro del estatuto de auditoría los lineamientos en materia de protección y uso no autorizado de la información obtenida durante el ejercicio de auditoría y 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</si>
  <si>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</si>
  <si>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</si>
  <si>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</si>
  <si>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</si>
  <si>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</si>
  <si>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</si>
  <si>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</si>
  <si>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t>Planeación y Seguimiento Integral de Proyectos</t>
  </si>
  <si>
    <t>Realizar el seguimiento integral a los proyectos urbanos verificando su ejecución de acuerdo con los objetivos y la misionalidad de la empresa a partir de las diferentes etapas y fases definidas.</t>
  </si>
  <si>
    <t>Inicia con la verificación y actualización del inventario de proyectos, comprende la administración del instrumento de seguimiento, generación de alertas, custodia a la información y finaliza con la gestión de informes para toma de decisiones.</t>
  </si>
  <si>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</si>
  <si>
    <t>Incumplimiento en la oportunidad de las respuestas</t>
  </si>
  <si>
    <t>falta de atención al requerimiento por las áreas técnicas</t>
  </si>
  <si>
    <t>Afectación reputacional debido al incumplimiento en la generación de respuestas de PQRS por falta de atención oportuna a las mismas.</t>
  </si>
  <si>
    <t>Mapa Riesgos Institucional Empresa de Renovación y Desarrollo Urbano de Bogotá - 2022</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</si>
  <si>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</si>
  <si>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Cada vez que exista una capacitación superior a 8 horas</t>
  </si>
  <si>
    <t>Posibilidad de impacto económico y reputacional por la pérdida de los activos fijos de la Empresa por falta de controles, seguimientos de los mismos y no contar con la ubicación y el responsable de los activos fijos.</t>
  </si>
  <si>
    <t>Pérdida de los activos fijos de la Empresa</t>
  </si>
  <si>
    <t>Falta de controles, seguimientos de los mismos y no contar con la ubicación y el responsable de los activos fijos.</t>
  </si>
  <si>
    <t>El profesional responsable del inventario realiza la actualización de los inventarios cada vez que se produzca el ingreso o salida de un colaborador, se reporten cambios por el responsable de los activos, jefe o supervisor de las dependencias y cuando haya cambios de los equipos de cómputo validados e informados previamente por el proceso de Gestión de TIC.
Así mismo, el profesional responsable del inventario ejecuta las actividades descritas en el procedimiento PD-59 Administración de Inventarios, por lo menos una (1) vez al año con el propósito de identificar, verificar, analizar y actualizar el inventario de los bienes de propiedad o administrados por la Empresa. 
En caso de presentarse novedades, se procede a ejecutar los procedimientos: PD-21 Baja de bienes servibles no utilizables y bienes inservibles y PD-22 Pérdida de Bienes.</t>
  </si>
  <si>
    <t>La Subgerencia de Gestión Corporativa envía comunicados a través del correo institucional recordando los lineamientos establecidos para un adecuado uso de los elementos asignados, mínimo dos veces al año.</t>
  </si>
  <si>
    <t>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en este mismo sentido El/La Subgerente de Gestión Corporativa y/o el apoyo que se designe para la supervisión, realiza de manera mensual la el seguimiento administrativo, técnico, jurídico y financiero  a los contratos suscritos para la adquisición de los bienes y servicios de la Empresa, dejando como evidencia los informes a la ejecución del contrato donde se detalla su cumplimiento para el trámite de los pagos correspondientes. En caso de presentarse novedades se requiere al contratista de acuerdo con los lineamientos establecidos por el manual de supervisión de la Empresa.</t>
  </si>
  <si>
    <t>La Subgerencia de Gestión Corporativa realiza reuniones con los contratistas de servicios logísticos por lo menos una vez al mes para hacer seguimiento y control a las obligaciones y servicios contratados.</t>
  </si>
  <si>
    <t>Informar al jefe del área, para tomar las medidas pertinentes con el fin de cubrir los bienes y servicios que no se encuentran en el Plan Anual de Adquisiciones.
Hacer efectivas las garantías contractuales especificadas en cada uno de los contratos.</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</si>
  <si>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</si>
  <si>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</si>
  <si>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</si>
  <si>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</si>
  <si>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</si>
  <si>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Hacer la reposición del bien a través de la compañía de seguros e informar a las instancias de Control Interno correspondientes.</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</si>
  <si>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</si>
  <si>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Posibilidad de que por acción u omisión haya priorización de planes, programas o proyectos de inversión o de toma de decisiones para favorecer intereses particulares.</t>
  </si>
  <si>
    <t>Posibilidad de aceptar o solicitar dádivas para estructurar documentos técnicos preliminares orientados a un interés particular.</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</si>
  <si>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</si>
  <si>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</si>
  <si>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</si>
  <si>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</si>
  <si>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</si>
  <si>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</si>
  <si>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</si>
  <si>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Informar al jefe inmediato para dar lineamientos.
Garantizar el profesional idóneo para la formulación e implementación del plan de SST.</t>
  </si>
  <si>
    <t>Realizar seguimiento a alertas y avance de los proyectos, en la instancia de seguimiento "Comité de Proyectos".</t>
  </si>
  <si>
    <t>Inadecuado cumplimiento de los lineamientos para el diligenciamiento de la matriz de seguimiento, en su veracidad y oportunidad por parte de los lideres de proyecto que permitan la generación de alertas.</t>
  </si>
  <si>
    <t>Posibilidad de afectación reputacional por la generación de alertas inoportunas debido a un inadecuado cumplimiento de los lineamientos para el diligenciamiento de la matriz de seguimiento, en su veracidad y oportunidad por parte de los lideres de proyecto que permitan la generación de alertas.</t>
  </si>
  <si>
    <t>Los profesionales de la Subgerencia de Planeación y Administración de Proyectos verifican semanalmente la información en la Matriz de Seguimiento, garantizando su veracidad de acuerdo al cronograma Línea Base.
Si hay información pendiente por actualizar, se solicita por correo electrónico al líder del proyecto, realizar el ajuste correspondiente en la Matriz de Seguimiento en el siguiente corte. Dicha información es utilizada para la generación de alertas y reportes que se requieran por parte de los grupos de interés.</t>
  </si>
  <si>
    <t>Conciliar Plan de Contingencia con los miembros del Comité de Proyectos.</t>
  </si>
  <si>
    <t>Posibilidad de que por acción u omisión se efectúen operaciones de salida de recursos o inversiones sin autorización, para beneficio propio o de terceros.</t>
  </si>
  <si>
    <r>
      <t xml:space="preserve">Los funcionarios de la Empresa cada vez que asisten a una capacitación superior a 8 horas deben ejecutar el Plan Padrino definido en la </t>
    </r>
    <r>
      <rPr>
        <b/>
        <i/>
        <sz val="10"/>
        <color theme="1"/>
        <rFont val="Arial Narrow"/>
        <family val="2"/>
      </rPr>
      <t>GI-35 Guía para implementar el programa Plan Padrino Entornos Enseñar - Aprender</t>
    </r>
    <r>
      <rPr>
        <sz val="10"/>
        <color theme="1"/>
        <rFont val="Arial Narrow"/>
        <family val="2"/>
      </rPr>
      <t>, como evidencia  de su ejecución se realiza el envió a la Subgerencia de Gestión Corporativa del formato</t>
    </r>
    <r>
      <rPr>
        <i/>
        <sz val="10"/>
        <color theme="1"/>
        <rFont val="Arial Narrow"/>
        <family val="2"/>
      </rPr>
      <t xml:space="preserve"> FT- 141 Evaluación de las actividades de capacitación</t>
    </r>
    <r>
      <rPr>
        <sz val="10"/>
        <color theme="1"/>
        <rFont val="Arial Narrow"/>
        <family val="2"/>
      </rPr>
      <t xml:space="preserve"> o la Encuesta de satisfacción de programas de capacitación de Google Forms que se remite vía correo electrónico.
Así mismo, treinta (30) días hábiles posteriores a la culminación del Plan Padrino, los apadrinados y sus jefes inmediatos que pertenecen a la planta de personal de la Empresa, diligencian el formato </t>
    </r>
    <r>
      <rPr>
        <i/>
        <sz val="10"/>
        <color theme="1"/>
        <rFont val="Arial Narrow"/>
        <family val="2"/>
      </rPr>
      <t>FT-142 Medición de impacto de la capacitación</t>
    </r>
    <r>
      <rPr>
        <sz val="10"/>
        <color theme="1"/>
        <rFont val="Arial Narrow"/>
        <family val="2"/>
      </rPr>
      <t xml:space="preserve"> y lo remiten a la Subgerencia de Gestión Corporativa.</t>
    </r>
  </si>
  <si>
    <t>Posibilidad de que, por acción u omisión, se use el poder para manipular de manera indebida los procesos judiciales para favorecer un interés particular.</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</si>
  <si>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una análisis que sirve para fortalecer la evaluación realizada. Las decisiones tomadas quedan registradas en las actas de seguimiento a los procesos judiciales donde se plasma la estrategia del abogado y las demás recomendaciones de sus compañeros.</t>
  </si>
  <si>
    <t>El Dependiente Judicial realiza control y vigilancia a los procesos judiciales a través de la Matriz de Seguimiento, en la cual se dejan las alertas que correspondan como insumo para los apoderados.</t>
  </si>
  <si>
    <t>Los abogados deben cargar las fichas y las actas del Comité de Defensa Judicial, Conciliación y Repetición al SIPROJ WEB.</t>
  </si>
  <si>
    <t>Revisión del estado general de los procesos dentro del Comité de Autoevaluación.</t>
  </si>
  <si>
    <t>Posibilidad de que, por acción u omisión, se use el poder para sustraer, incluir y/o adulterar documentos en los expedientes (misionales y de gestión) en beneficio de terceros.</t>
  </si>
  <si>
    <t xml:space="preserve">El Técnico de Gestión Documenta realiza capacitaciones a los colaboradores del proceso de Gestión Documental con respecto al cumplimiento del procedimiento de préstamo y consulta documental. </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</si>
  <si>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</si>
  <si>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Posibilidad de que por acción, omisión o abuso de poder, se profieran decisiones a favor o en contra de los sujetos procesales en beneficio propio o de terceros.</t>
  </si>
  <si>
    <t>Posibilidad de afectación reputacional por la materialización de la figura jurídica de la prescripción establecida en la ley, debido a debilidades en el debido control de los términos que permita que se tomen las decisiones de fondo en los plazos establecidos.</t>
  </si>
  <si>
    <t>Mensualmente se realizan reuniones donde se actualiza el archivo de seguimiento disponible en Drive con las actuaciones realizadas en el mes y se verifican los términos.</t>
  </si>
  <si>
    <t>Contribuir al fortalecimiento y protección de los principios de la función pública a través de la generación de actividades de prevención en materia disciplinaria, así como adelantar las actuaciones administrativas a los servidores y exservidores públicos de la Empresa, cuando incurran en conductas que puedan constituir faltas disciplinarias de conformidad con lo establecido en la normatividad vigente.</t>
  </si>
  <si>
    <t>Control Interno Disciplinario</t>
  </si>
  <si>
    <t>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las infracciones a la Constitución, las leyes y manuales de funciones o por la omisión o extralimitación en el ejercicio de sus funciones, de conformidad con lo establecido en la Ley.</t>
  </si>
  <si>
    <t>Materialización de la figura jurídica de la prescripción establecida en la ley.</t>
  </si>
  <si>
    <t>Debilidades en el debido control de los términos que permita que se tomen las decisiones de fondo en los plazos establecidos.</t>
  </si>
  <si>
    <t>Presiones indebidas por un tercero o un superior jerárquico.
Recibir o solicitar dádivas o beneficios a nombre propio o de un tercero.</t>
  </si>
  <si>
    <t>Interés particular del servidor público.</t>
  </si>
  <si>
    <t>Elaborar un informe para ser enviado al superior jerárquico o al ente de control competente, dependiendo de la naturaleza del cargo.</t>
  </si>
  <si>
    <t>En cada etapa de la instrucción la Abogada sustanciadora verifica los términos establecidos en la ley en el archivo de seguimiento disponible en Drive y a partir de ello, proyecta las decisiones las cuales son entregadas al Jefe de la Oficina de Control Disciplinario Interno, quien verifica los términos y las decisiones a tomar de acuerdo a la norma. En caso de encontrar prescripciones se toma la decisión de terminar el proceso a través de auto.</t>
  </si>
  <si>
    <t>Posibilidad de que, por acción u omisión, se use el poder para uso indebido de información privilegiada para favorecimiento de un interés particular.</t>
  </si>
  <si>
    <t>Cada vez que se requiera, el Equipo de Estudios Previos realiza la revisión del anexo técnico aportado por el área generadora de la necesidad del proceso de contratación y elabora los documentos técnicos (Estudios previos, Anexo económico y matriz de riesgos),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y aval inicial previos al Comité de Contratación. El Subgerente de Desarrollo de Proyectos realiza la radicación de los documentos de estudios previos a la Dirección de Gestión Contractual, solicitando agendamiento del comité de contratación y adelantar el proceso de selección correspondiente.
Luego, la Dirección de Gestión Contractual presenta el proyecto para recomendación del Comité de Contratación, se atienden las observaciones (cuando aplique) y finalmente la Dirección de Gestión Contractual elabora los términos de referencia correspondientes. Si el proceso se debe adelantar con recursos de Fiducia, se presenta al Comité Fiduciario para aprobación. Una vez aprobado por este Comité se remite al área jurídica de la Fiducia para revisión de los términos de referencia y posterior publicación por parte de la DGC en SECOP II.</t>
  </si>
  <si>
    <t>Socializar el riesgo identificado de corrupción, los controles establecidos en el procedimiento PD-95 Estructuración del proceso de selección de contratistas para los proyectos que adelante la Empresa, la Política operativa de Integridad, Conflicto de Intereses y Gestión Anti soborno y el Código de Integridad.</t>
  </si>
  <si>
    <t>Posibilidad de que, por acción u omisión, haya uso indebido de información privilegiada para favorecimiento de un interés particular.</t>
  </si>
  <si>
    <t>Cada vez que se requiere llevar a cabo una contratación, el abogado de la Subgerencia de Gestión Urbana, verifica que en los contratos de prestación de servicios se incluya la cláusula de confidencialidad en cada uno, con el fin de dar un manejo adecuado de la información por parte de los contratistas, y en caso de no encontrarla, se solicita su incorporación a la Dirección de Gestión Contractual.
El Subgerente de Gestión Urbana de manera permanente ejerce la supervisión en las diferentes actividades que se adelantan en la Subgerencia por parte de los contratistas, en las que se pueden identificar situaciones que generen riesgo en el manejo de información privilegiada del área. En caso de encontrar inconsistencias se reportan las alarmas a los organismos de Control Interno y externo correspondiente, absteniéndose de emitir el Certificado de Cumplimiento.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y externo correspondiente.</t>
  </si>
  <si>
    <t>Si se encuentran inconsistencias se reportan las alarmas al supervisor del contrato y se informa la situación a los organismos de control interno y externo correspondiente.</t>
  </si>
  <si>
    <r>
      <t>Previo a la entrega de un préstamo documental en físico, los colaboradores de Gestión Documental verifican el contenido y estado del expediente para asegurar su integralidad y validan que se cuente con el requerimiento por correo electrónico de la dependencia solicitante. Una vez validado todo, se realiza el préstamo documental diligenciando el formato</t>
    </r>
    <r>
      <rPr>
        <i/>
        <sz val="10"/>
        <color theme="1"/>
        <rFont val="Arial Narrow"/>
        <family val="2"/>
      </rPr>
      <t xml:space="preserve"> FT-111 Registro Préstamo de Documentos</t>
    </r>
    <r>
      <rPr>
        <sz val="10"/>
        <color theme="1"/>
        <rFont val="Arial Narrow"/>
        <family val="2"/>
      </rPr>
      <t>. Tres días previos al vencimiento del préstamo, los colaboradores de Gestión Documental solicitan la devolución o renovación del mismo a través de correo electrónico. En caso de devolución del expediente, los colaboradores de Gestión Documental verifican el contenido y estado del expediente para asegurar su integralidad y en caso de encontrar inconsistencias se solicita al responsable subsanar las novedades para poder recibirlo.</t>
    </r>
  </si>
  <si>
    <t>La Gestora del Sistema de Información de Procesos Judiciales SIPROJ verifica mensualmente que los abogados, una vez se genere cualquier actuación judicial, actualicen el SIPROJ adjuntando la respectiva documentación. En caso de encontrar desviaciones se solicita la actualización inmediata de la información a través de correo electrónico.</t>
  </si>
  <si>
    <t>Al inicio de cada vigencia el Gestor Senior 1 y el delegado para la empresa ante la Alcaldía Mayor de Bogotá,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</si>
  <si>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A demanda</t>
  </si>
  <si>
    <t>El Gestor Senior 1 de atención al ciudadano cada vez que ingresa un colaborador genera la inducción en las temáticas de Atención al Ciudadano, resultado de esta reunión quedan las grabaciones y las listas de asistencia.</t>
  </si>
  <si>
    <t>El Servidor del punto de contacto envía al profesional de Atención al Ciudadano al finalizar el mes el reporte de las quejas y reclamos, para que sea incorporado en el registro en la Matriz de seguimiento a quejas y reclamos y de acuerdo con la magnitud de la queja o reclamo los mismos son elevados al Comité Institucional de Gestión y Desempeño. De otra parte, el profesional Gestor 1 de Atención al Ciudadano realiza el alcance al seguimiento del informe mensual de calidad en las respuestas emitido por la Alcaldía Mayor de Bogotá, mediante comunicado interno informando el incumplimiento en los criterios de la oportunidad, calidez, la calidad, coherencia y manejo del sistema, PQRS, a las áreas solicitando un plan de mejoramiento, en los casos que corresponda.</t>
  </si>
  <si>
    <t>Realizar jornadas de reinducción y capacitación del manejo del sistema Bogotá te escucha.</t>
  </si>
  <si>
    <t>Cada vez que se inicia una indagación previa se verifican las pruebas existentes y la Abogada sustanciadora proyecta el auto de apertura de investigación disciplinaria, posteriormente de acuerdo a los términos y con base en las pruebas que hayan sido allegadas dentro de los expedientes disciplinarios por las áreas o entidades a las que se les solicitó, se elabora pliego de cargos o el auto de terminación y archivo correspondiente y lo entrega al Jefe de la Oficina de Control Disciplinario Interno, quien verifica el sentido del acto administrativo con fundamento en la documentación entregada y determina si está ajustada o no la decisión a derecho.</t>
  </si>
  <si>
    <t>Mensualmente se realizan reuniones donde se revisan los expedientes priorizados en los que el recaudo de pruebas se haya finalizado, llegando a un acuerdo respecto de la decisión que se adoptará con las pruebas recaudadas y en ese sentido la abogada sustanciadora elabora el proyecto, igualmente se hace seguimiento a las solicitudes de pruebas dentro de los expedientes que se encuentren en términos para tomar decisiones respecto de la formulación de cargos o del auto de terminación y archivo definitivo.</t>
  </si>
  <si>
    <t>Respuestas a los ciudadanos que incumplen los criterios de calidad.</t>
  </si>
  <si>
    <t>Posibilidad de afectación reputacional por respuestas a los ciudadanos que incumplen los criterios de calidad debido a falta de conocimiento frente a la norma, la política y al manejo del sistema de PQRS.</t>
  </si>
  <si>
    <t>En los casos que corresponda se emite un memorando a la dependencia en la que se presenta la situación con copia a Oficina de Control Interno reportando el hecho y se solicita reinducción y/o capacitación y plan mejoramiento</t>
  </si>
  <si>
    <t>Dar traslado con el auto de prescripción a la Personería o a la Procuraduría para que se tomen las decisiones pertinentes.</t>
  </si>
  <si>
    <t>Gestión del Conocimiento y la Innovación</t>
  </si>
  <si>
    <t>Desarrollar y fortalecer la Gestión del Conocimiento e Innovación de la Empresa, mediante la adopción e implementación de instrumentos, herramientas, metodologías y acciones innovadoras que permitan materializar ideas, generar y preservar el conocimiento, tomar decisiones basada en evidencias y generar una cultura de innovación que conlleven al mejoramiento del desempeño de la organización.</t>
  </si>
  <si>
    <t>Inicia con la gestión de conocimiento de la empresa, así como la definición de las temáticas, líneas y retos de innovación, comprende la implementación de mecanismos para generación o construcción del conocimiento y la innovación, su sistematización o documentación y finaliza con la disposición y socialización de las lecciones aprendidas y productos de conocimiento.</t>
  </si>
  <si>
    <t>Fuga de conocimiento.</t>
  </si>
  <si>
    <t>Desactualización del conocimiento tácito y explícito.</t>
  </si>
  <si>
    <t>Posibilidad de afectación reputacional por la fuga del conocimiento debido a la desactualización del conocimiento tácito y explícito de los procesos.</t>
  </si>
  <si>
    <t>Documentar los lineamientos para controlar la fuga del conocimiento, así como la definición de las herramientas de monitoreo y seguimiento.</t>
  </si>
  <si>
    <t>Acción de Contingencia ante posible materialización</t>
  </si>
  <si>
    <t>Generar espacios con los involucrados, para realizar el levantamiento de la información, documentarla, publicarla y socializarla.</t>
  </si>
  <si>
    <t>Se establecerá una vez se tengan definidos los  lineamientos para controlar la fuga del conocimiento.</t>
  </si>
  <si>
    <t>Seguimiento Controles</t>
  </si>
  <si>
    <t>Seguimiento Acciones de Tratamiento</t>
  </si>
  <si>
    <t>¿Se materializo el riesgo?</t>
  </si>
  <si>
    <t>Seguimiento Acciones de Contingencia</t>
  </si>
  <si>
    <t xml:space="preserve">Observaciones </t>
  </si>
  <si>
    <t>Describa las actividades desarrolladas para dar cumplimiento a los controles establecidos</t>
  </si>
  <si>
    <t>Enuncie las evidencias que soportan el seguimiento del control y anéxelas en la carpeta compartida destinada para ello (si son de carácter reservado, no es necesario anexarlas)</t>
  </si>
  <si>
    <t>% de Cumplimiento</t>
  </si>
  <si>
    <t>Describa las actividades desarrolladas para dar cumplimiento a las acciones de tratamiento establecidas</t>
  </si>
  <si>
    <t>Relacione las evidencias que soportan el seguimiento de las acciones de tratamiento y anéxelas en la carpeta compartida destinada para ello (si son de carácter reservado, no es necesario anexarla)</t>
  </si>
  <si>
    <t>Si</t>
  </si>
  <si>
    <t>No</t>
  </si>
  <si>
    <t xml:space="preserve">En caso de materialización describa cómo se materializó </t>
  </si>
  <si>
    <t>Describa las actividades desarrolladas para dar cumplimiento a las acciones de contingencia en los casos que se materializo el riesgo</t>
  </si>
  <si>
    <t>Relacione las evidencias que soportan el seguimiento de las acciones de contingencia y anéxelas en la carpeta compartida destinada para ello (si son de carácter reservado, no es necesario anexarlas)</t>
  </si>
  <si>
    <t>Seguimiento Tercer Cuatrimestre 2022</t>
  </si>
  <si>
    <t>Para el seguimiento al plan de acción correspondiente al tercer  trimestre de la vigencia 2022, la Subgerencia de Planeación y Administración de Proyectos emitió los lineamientos respectivos, y una vez recibida la información reportada por los diferentes procesos, se validó de manera conjunta con los profesionales de la Subgerencia, para garantizar su alineación con los objetivos, coherencia y que esté acorde con la programación establecida. Cuando hubo lugar a ello, se solicitaron los ajustes correspondientes a los responsables, y una vez ajustada la información, se presentó ante el Comité Institucional de Gestión y Desempeño en sesión del 24 de octubre de 2022 y como resultado se generó la versión 4, y para el mes de diciembre se presentaron las acciones críticas del plan. La versión vigente está publicada junto con el seguimiento correspondiente en la página web de la Empresa y en la eruNET. 
Por lo anterior, se puede concluir que ha sido efectivo el control, pues una vez aplicado, no se ha materializado el riesgo.</t>
  </si>
  <si>
    <t>- Correo solicitando seguimiento y alerta III-2022. 
- Presentaciones utilizadas en las sesiones del Comité.
- Acta 23 del Comité Institucional de Gestión y Desempeño.
- Correos solicitando ajustes.
- Plan de Acción Institucional 2022 publicado en la sección en la sección Transparencia &gt;&gt; Planeación, presupuesto e informes &gt;&gt; Plan de acción institucional de la página web y en la sección "Planeación Institucional" de la eruNET
- Seguimiento al Plan de Acción Institucional 2022 publicado en la sección en la sección Transparencia &gt;&gt; Planeación, presupuesto e informes &gt;&gt; Metas, objetivos e indicadores de la página web y en la sección "MIPG - Dimensión Evaluación de resultados" de la eruNET</t>
  </si>
  <si>
    <t>Los resultados del seguimiento del tercer trimestre del año 2022 están publicados en la sección en la página web de la Empresa y en la eruNET.</t>
  </si>
  <si>
    <t>- Seguimiento al Plan de Acción Institucional 2022 publicado en la sección en la sección Transparencia &gt;&gt; Planeación, presupuesto e informes &gt;&gt; Metas, objetivos e indicadores de la página web y en la sección "MIPG - Dimensión Evaluación de resultados" de la eruNET</t>
  </si>
  <si>
    <t>X</t>
  </si>
  <si>
    <t>N/A</t>
  </si>
  <si>
    <t>- Correo solicitando seguimiento y alertas III-2022. 
- Presentaciones utilizadas en las sesiones del Comité.
- Acta 23 del Comité Institucional de Gestión y Desempeño.
- Correos solicitando ajustes.
- Plan de Acción Institucional 2022 publicado en la sección en la sección Transparencia &gt;&gt; Planeación, presupuesto e informes &gt;&gt; Plan de acción institucional de la página web y en la sección "Planeación Institucional" de la eruNET
- Seguimiento al Plan de Acción Institucional 2022 publicado en la sección en la sección Transparencia &gt;&gt; Planeación, presupuesto e informes &gt;&gt; Metas, objetivos e indicadores de la página web y en la sección "MIPG - Dimensión Evaluación de resultados" de la eruNET</t>
  </si>
  <si>
    <t xml:space="preserve">Cuando hubo lugar a ello, se solicitaron los ajustes correspondientes a los responsables, y una vez ajustada la información, se presentó ante el Comité Institucional de Gestión y Desempeño para seguimiento de la alta dirección en sesión del 24 de octubre de 2022 y como resultado se generó la versión 4, y para el mes de diciembre se presentaron las acciones críticas del plan. La versión vigente está publicada junto con el seguimiento correspondiente en la página web de la Empresa y en la eruNET. </t>
  </si>
  <si>
    <t>- Presentaciones utilizadas en las sesiones del Comité.
- Acta 23 del Comité Institucional de Gestión y Desempeño.
- Correos solicitando ajustes.
- Seguimiento al Plan de Acción Institucional 2022 publicado en la sección en la sección Transparencia &gt;&gt; Planeación, presupuesto e informes &gt;&gt; Metas, objetivos e indicadores de la página web y en la sección "MIPG - Dimensión Evaluación de resultados" de la eruNET</t>
  </si>
  <si>
    <t xml:space="preserve">
Durante los meses de septiembre a diciembre, se realizaron seguimientos semanales a los proyectos mediante el drive diseñado para este fin, así como la revisión de la información aportada por las áreas, retroalimentación y observaciones pertinentes. Cuando hubo lugar a ello, se solicitó por correo electrónico al líder del proyecto, realizar el ajuste correspondiente en la Matriz de Seguimiento en el siguiente corte. Dicha información fue utilizada para la generación de alertas y reportes, lo cual se puede visualizar mediante el Tablero de Proyectos en la herramienta PowerBi, la cual se puede consultar en la ERUNet.
Por lo anterior, se puede concluir que ha sido efectivo el control, pues una vez aplicado, no se ha materializado el riesgo.</t>
  </si>
  <si>
    <t xml:space="preserve">- Matrices de seguimiento semanal
- Matriz de observaciones semanal 
- Correos soporte de envío
- Link de consulta de información seguimiento a proyectos: http://186.154.195.124/tablero-de-proyectos </t>
  </si>
  <si>
    <t>Con corte a 30 de diciembre se realizaron 4 Comités de Proyectos, así: No.3: 14.09.22, No. 4: 19.10.22, No.5: 09.11.22, No.6: 23.11.22. 
En los Comités de Proyectos desarrollados se busca el fortalecimiento de esta instancia para realizar la administración, análisis estratégico, seguimiento y control de proyectos urbanos durante el proceso de maduración, liderado por diferentes Subgerencias, de forma tal que se avance de manera eficiente en la gestión y metas del proyecto, realizando las recomendaciones y retroalimentación necesaria que permita optimizar su desarrollo y/o la toma de decisiones de manera oportuna, las cuales quedaron consignadas en las actas. Es de anotar que la numeración de las actas reinició cuando se emitió la Resolución 142 de 2022, mediante la cual se reglamentó el Comité.</t>
  </si>
  <si>
    <t>Para este periodo no se reportan avances, ya que la identificación del riesgo se realizó en el pasado mes de diciembre 2022.</t>
  </si>
  <si>
    <t>No aplica.</t>
  </si>
  <si>
    <t>\\192.168.10.203\ogs\0 OFICINA DE GESTION SOCIAL 2022\MAPA DE RIESGO OGS\NOVIEMBRE</t>
  </si>
  <si>
    <t xml:space="preserve">Contratos de prestación de servicios vigencia 2022
Otro si Contratos planta </t>
  </si>
  <si>
    <t>Para el seguimiento se trabaja con una herramienta diseñada para llevar el control de los pagos</t>
  </si>
  <si>
    <t>Revisar el estado de los predios
Realizar seguimiento al tramite de los pagos</t>
  </si>
  <si>
    <t xml:space="preserve">Se cuenta con cronograma de cualificación al cual se le realizó seguimiento y se dio cumplimiento. </t>
  </si>
  <si>
    <t>\\192.168.10.203\Institucional\OGS\0 OFICINA DE GESTION SOCIAL 2022\ATENCION AL CIUDADANO\SOPORTES CUALIFICACIÓN</t>
  </si>
  <si>
    <t>Durante el periodo se realizaron dos cualificaciones a equipos de trabajo</t>
  </si>
  <si>
    <t xml:space="preserve">\\192.168.10.203\Institucional\OGS\0 OFICINA DE GESTION SOCIAL 2022\ATENCION AL CIUDADANO\Seguimiento a la calidad de las respuestas.               \\192.168.10.203\Institucional\OGS\0 OFICINA DE GESTION SOCIAL 2022\ATENCION AL CIUDADANO\Seguimiento a Quejas y reclamos  </t>
  </si>
  <si>
    <t>\\192.168.10.203\Institucional\OGS\0 OFICINA DE GESTION SOCIAL 2022\ATENCION AL CIUDADANO\CAPACITACIONES FUNCIONALES           \\192.168.10.203\Institucional\OGS\0 OFICINA DE GESTION SOCIAL 2022\ATENCION AL CIUDADANO\Seguimiento a la calidad de las respuestas</t>
  </si>
  <si>
    <t xml:space="preserve"> En el último cuatrimestre de 2022 no se adelantaron procesos de comercialización, por lo cual no se requirió la aplicación de los controles establecidos. 
</t>
  </si>
  <si>
    <t>La actividad planteada como acción de tratamiento, se reportó con sus correspondientes soportes, en el periodo de seguimiento anterior, es decir, la socialización del Venta de inmuebles (PD- 88) el cual continúa vigente.</t>
  </si>
  <si>
    <t>En el periodo septiembre-diciembre de 2022 no se designaron predios para comercialización, por lo cual  no se aplicaron controles ni se llevaron a cabo acciones de tratamiento</t>
  </si>
  <si>
    <t>El Supervisor del contrato en la revisión de informes de actividades mensuales, verificó el cumplimiento de las cláusulas del contrato sin embargo no encontró inconsistencias por lo tanto no se reportaron alertas.
Durante el cuarto trimestre los líderes SIG y el Jefe del Área se reunieron para realizar el Comité de Autoevaluación, en el cual se revisó temas de manejo adecuado de la información sin embargo no encontró inconsistencias por lo tanto no se reportaron alertas.</t>
  </si>
  <si>
    <t xml:space="preserve">- Certificado de cumplimiento de actividades (JSP7)
-Acta de comité de autoevaluación </t>
  </si>
  <si>
    <t xml:space="preserve">Asistencia </t>
  </si>
  <si>
    <t>De acuerdo a las metas plan de desarrollo (2020 - 2024), establecidas, la Subgerencia definió (5) ámbitos territoriales, con el fin de realizar un análisis urbano regional, identificar y evaluar áreas de oportunidad que han permitido de acuerdo con su priorización, la formulación de proyectos de Desarrollo y Renovación Urbana. A continuación, se listan los Planes Parciales De Renovación Urbana que se encuentra en proceso de formulación para el periodo 2022
1. PIEZA CENTRO: 
• Plan Parcial de Renovación Urbana Centro San Bernardo                                                                                                             
2. BORDES
• Modificación de Formulación de Plan Parcial Tres Quebradas
3. REENCUENTRO:  
• Modificación del Plan Parcial de Renovación Urbana Estación calle 26
• Formulación de Plan Parcial de Renovación Urbana Calle 24
4. CORREDORES:  
• Formulación del Plan Parcial de Renovación Urbana CALLE 72
5. AGLOMERACIONES ECONÓMICAS:
• Apoyo a la formulación del instrumento de planeamiento  en la definición e  incorporación de  propuesta estratégica de reactivación  económica
Se actualizaron cronogramas de actividades e hitos para la formulación, radicación y adopción de los planes parciales, sobre los cuales se realiza seguimiento al cumplimiento de actividades.</t>
  </si>
  <si>
    <t>- Cronogramas actualizados de los proyectos</t>
  </si>
  <si>
    <t>La SGU actualizó la documentación del proceso durante la vigencia del primer semestre de 2022 y se socializó el 25 de mayo con el equipo de la SGU.</t>
  </si>
  <si>
    <t>´- Procedimiento de prefactibilidad de proyectos actualizado
- Socialización del procedimiento</t>
  </si>
  <si>
    <t>Como parte de la trazabilidad de los proyectos se mantiene la evidencia de los seguimientos y decisiones con las diferentes entidades que participan en la formulación de proyectos mediante actas de reuniones en las carpetas de cada proyecto.</t>
  </si>
  <si>
    <t>´- Actas de reuniones con entidades</t>
  </si>
  <si>
    <t>´- Procedimiento de prefactibilidad de proyectos actualizado</t>
  </si>
  <si>
    <t>De acuerdo a las metas plan de desarrollo (2020 - 2024), establecidas, la Subgerencia definió (5) ámbitos territoriales, con el fin de realizar un análisis urbano regional, identificar y evaluar áreas de oportunidad que han permitido de acuerdo con su priorización, la formulación de proyectos de Desarrollo y Renovación Urbana. A continuación, se listan los Planes Parciales De Renovación Urbana que se encuentra en proceso de formulación para el periodo 2022
1. PIEZA CENTRO: 
• Plan Parcial de Renovación Urbana Centro San Bernardo                                                                                                             
2. BORDES
• Modificación de Formulación de Plan Parcial Tres Quebradas
3. REENCUENTRO:  
• Modificación del Plan Parcial de Renovación Urbana Estación calle 26
• Formulación de Plan Parcial de Renovación Urbana Calle 24
4. CORREDORES:  
• Formulación del Plan Parcial de Renovación Urbana CALLE 72
5. AGLOMERACIONES ECONÓMICAS:
• Apoyo a la formulación del instrumento de planeamiento  en la definición e  incorporación de  propuesta estratégica de reactivación  económica
Se actualizaron cronogramas de actividades e hitos para la formulación, radicación y adopción de los planes parciales, sobre los cuales se realiza seguimiento al cumplimiento de actividades.</t>
  </si>
  <si>
    <t xml:space="preserve">Durante el cuarto trimestre se actualizó la base de datos de consultores con alto grado de experticia para la elaboración de estudios técnicos. </t>
  </si>
  <si>
    <t>´- Bases de datos de experticia de consultores</t>
  </si>
  <si>
    <t>- Actas de reunión de gestión interinstitucional</t>
  </si>
  <si>
    <t xml:space="preserve">Mediante el FUSS (formato único de seguimiento sectorial), ciclo de estructuración de proyectos plan de acción  e indicadores de gestión se realiza seguimiento al cumplimiento de las actividades de la formulación de proyectos. </t>
  </si>
  <si>
    <t>- Seguimiento FUSS
- Seguimiento indicadores de gestión 
- Plan de acción</t>
  </si>
  <si>
    <t xml:space="preserve">El 22 de noviembre de 2022, en reunión de coordinación No.16 de la Subgerencia de Desarrollo de Proyectos, se realizó la Socialización del Mapa de Riesgos V5 , la  Socialización Política Operativa de integridad, conflicto de interés y gestión antisoborno, Socialización Código de Integridad y Socialización informe Monitoreo a la gestión de riesgos - segunda línea defensa II.
El 19 de diciembre de 2022, en reunión de coordinación No.18 de la Subgerencia de Desarrollo de Proyectos, se realizó la Socialización de la actualización a la política de administración del riesgo.
</t>
  </si>
  <si>
    <t>2022 11 22 _Acta No. 16
2022 11 22_ Asistencia Acta No. 16
2022 12 19  _Acta No. 18
2022 12 19_ Asistencia Acta No. 18</t>
  </si>
  <si>
    <t xml:space="preserve">Durante el período, se realizaron las siguientes actividades:
Proyecto Alcaldía de Mártires:
* Actas de recibo parcial de obra tres (3)
* Actas de recibo parcial interventoría tres (3).
*Acta de recibo de estudios y diseños
*Acta parcial de obra
</t>
  </si>
  <si>
    <t>*Se realizaron Comités de seguimiento: Trece (13) comités para el proyecto Alcaldía de Mártires.
* Se realizaron Comités de Consultoría: Cuatro (4) para el proyecto del CHSJD.</t>
  </si>
  <si>
    <t>*Comités de seguimiento del No.25 al No. 37 Alcaldía de Mártires.
*Comités de Consultoría del No.5 al 09, CHSJD.</t>
  </si>
  <si>
    <t>Durante el período se revisaron y verificaron los requisitos mínimos para entrega de obra, para los siguientes proyectos:
*El Porvenir Etapa 7C
*Colmena
*Usme 1
*Usme 3</t>
  </si>
  <si>
    <t xml:space="preserve">*FT-193 Req min entrega obra V1_0 Reporte sept - diciembre 2022 El porvenir.
*2022 IDRD CONSTANCIA DE VISITA PARQUES VECINALES ETAPA VIIC.
*FT-193 Req min entrega obra V1_0 - COLMENA.
*FT-193 Req min entrega obra V1_0 - USME 1
*FT-193 Req min entrega obra V1_0 - USME 3.
</t>
  </si>
  <si>
    <t>El 27 de diciembre de 2022, en reunión de coordinación No.19 de la Subgerencia de Desarrollo de proyectos, se realizó la Socialización de los requisitos exigidos por las Entidades Competentes, de acuerdo con lo establecido en el Procedimiento PD-90 Recibo y entrega de obras y áreas de cesiones públicas. (Francisco Gámez).</t>
  </si>
  <si>
    <t>2022 12 27  _Acta No. 19
2022 12 27_ Asistencia Acta No. 19</t>
  </si>
  <si>
    <t xml:space="preserve">
Para el cuatrimestre las siguientes piezas gráficas y audiovisuales externas y publicadas en canales externos, realizadas a solicitud de las áreas cuentan con el visto bueno (validación):
✔	07-08-2022 Reel Usme Tres Quebradas
✔	09-09-22 Loop ronda de socialización San Juan de Dios
✔	14-09-2022 Video EUPOLIS regiones y ciudades conferencia internacional
✔	16-09-22 Loop ronda de socialización Cable aéreo San Cristóbal
✔	18-09-22 Reel Plan Parcial Calle 72 
✔	20-09-2022 Reel proyecto Plan Parcial calle 24
✔	26-09-22 Loop ronda de socialización Voto Nacional - Malla Vial
✔	13-10-2022 Timelapse obra Alcaldía Local de Los Mártires mes de septiembre y de inicios de octubre
✔	4-26-2022 Graficación Loop Ronda Socialización procesos Topográficos
✔	20-10-2022 Nota Proyecto Polo Vivienda
✔	1- 11-2022 Reel Cable Aéreo San Cristóbal
✔	1-11-2022 Video portafolio comercial
✔	17-11-2022 Loop Ronda Socialización
✔	21-11-2022 Reel Complejo hospitalario San Juan de Dios
✔	24-11-2022 Loop Centro de talento creativo
✔	24-11-2022 Video Colegio la Magdalena nueva imagen
✔	24-11-2022 Video Colegio San Francisco de Asís nueva imagen
✔	24-11-2022 Video Universidad Distrital nueva imagen.
✔	30-11-2022 Loop Video Transparencia
✔	Diciembre de 2022- Animación loop Ronda de socialización para las reparaciones viales de las etapas 2 y 3 de la ciudadela Nuevo Usme. 
✔	26-12-2022 Timelapse Centro de Talento Creativo Multicampus
✔	09-12-2022 Timelapse obra Colegio La Magdalena
✔	09-12-2022 Timelapse obra Alcaldía Local de Los Mártires
✔	30-12-2022 Video en croma incentivo participación Plan anticorrupción y atención al ciudadano.
</t>
  </si>
  <si>
    <t>Correos electrónicos de aprobación, el proceso cuenta con los soportes esta actividad</t>
  </si>
  <si>
    <t>El día 3 de octubre se lanzó la campaña de comunicación interna, a través de la cual se divulgó el procedimiento para las solicitudes de comunicaciones, esta campaña se socializó a través del correo comunicaciones@eru.gov.co</t>
  </si>
  <si>
    <t>Se anexa soporte del correo</t>
  </si>
  <si>
    <t>La Dirección de Gestión Contractual adelanta seguimiento a los tramites a través de la base de datos, esta misma se actualiza  de conformidad con los tramites radicados y gestionados en la DGC, de esta manera en caso de ser devueltos los procesos contractuales por no cumplir con lo establecido con lo dispuesto en SIG se adelanta el seguimiento correspondiente en esta herramienta.</t>
  </si>
  <si>
    <t xml:space="preserve">El seguimiento se adelanta a través de una aplicación a la cual tienen acceso todos los colaboradores de la DGC, en la cual se evidencia información importante, tal como fecha de radicado, días que lleva en gestión, tipo de tramite, abogado asignado, entre otros.
https://datastudio.google.com/embed/u/0/reporting/aca42cb0-a1c6-44e1-ba88-9a5e5b4d6b57/page/p_r3pc1j82sc </t>
  </si>
  <si>
    <t>Socialización de los formatos actualizados en la presente vigencia a través de correo electrónico y lista de asistencia a reunión de socialización.</t>
  </si>
  <si>
    <t>En el presente periodo se han actualizado los formatos relacionados a continuación, los cuales se han socializado con la Empresa a través de correo electrónico para aclarar dudas al respecto de su uso.
FT-213 Constancia de cierre Expediente Contractual V1
FT-212 Acta de Liquidación de contratos V1
FT-23 Lista de chequeo requisitos básicos de contratación V8</t>
  </si>
  <si>
    <t>Socialización de los formatos actualizados en la presente vigencia a través de correo electrónico.</t>
  </si>
  <si>
    <t xml:space="preserve">Matriz de seguimiento de procesos judiciales </t>
  </si>
  <si>
    <t xml:space="preserve">En el periodo de septiembre a diciembre 2022,  llegaron  7 procesos nuevos y se realizó en ese cuatrimestre el seguimiento a las actuaciones judiciales realizadas en el periodo </t>
  </si>
  <si>
    <t xml:space="preserve">SIPROJ </t>
  </si>
  <si>
    <t xml:space="preserve">Matriz de seguimiento de los procesos judiciales </t>
  </si>
  <si>
    <t>La Subgerencia de Gestión Corporativa envía comunicados a través del correo institucional recordando los lineamientos establecidos para un adecuado uso de los elementos asignados.</t>
  </si>
  <si>
    <t>Se realizó el seguimiento correspondiente al plan de adquisiciones y plan de contratación, así como los apoyos a la supervisión a los contratos para los pagos correspondientes.</t>
  </si>
  <si>
    <t>Plan de Contratación e Informes de Apoyo a la Supervisión.</t>
  </si>
  <si>
    <t>Los profesionales del Proceso enviaron correo de solicitud de requerimientos de bienes o servicios con el fin de validar que cumplan con los lineamientos establecidos por gestión Contractual.</t>
  </si>
  <si>
    <t>Plan de Contratación.</t>
  </si>
  <si>
    <t>La Subgerencia de Gestión Corporativa envía comunicados a través del correo institucional, socializando los principios y valores éticos.</t>
  </si>
  <si>
    <t xml:space="preserve">Durante el periodo de medición de este informe los colaboradores de gestión documental, verificaron el contenido, estado de los expedientes solicitados en préstamo mediante correo electrónico. 
Se diligencio el formato FT -  111, se realizó seguimiento y solicitud de devolución y/o renovación del mismo.  Una vez se realizó la devolución se verificaron los expedientes.
</t>
  </si>
  <si>
    <t xml:space="preserve">1. Correos electrónicos - Solicitud de Prestamos Documentales. 
2. Formato FT - 111 (Tercer cuatrimestre)
3. Correos electrónicos - Solicitud devolución Prestamos documentales
</t>
  </si>
  <si>
    <t>El Técnico de Gestión Documental Maryi Fagua, realizó capacitación el 13 de diciembre de 2022 cuya temática fue el procedimiento de préstamos documentales.</t>
  </si>
  <si>
    <t xml:space="preserve">Listado de Asistencia capacitación 13 de diciembre de 2022. </t>
  </si>
  <si>
    <t xml:space="preserve">El profesional del proceso realizó el monitoreo y control de condiciones ambientales en el deposito del Archivo de la Empresa. </t>
  </si>
  <si>
    <t xml:space="preserve">Reporte de Monitoreo y Condiciones Ambientales </t>
  </si>
  <si>
    <t xml:space="preserve">Listado de Asistencia capacitación 07 de Noviembre  de 2022. </t>
  </si>
  <si>
    <t>Matriz de Seguimiento Plan Institucional de Archivos Pinar</t>
  </si>
  <si>
    <t xml:space="preserve">Durante el cuatrimestre se realizaron las siguientes jornadas de socialización y capacitación: 
1. Banco Terminológico: 16 de noviembre de 2022.
2. Tablas de Retención Documental :16 de noviembre de 2022.
3. Cuadro de Clasificación Documental :16 de noviembre de 2022.
</t>
  </si>
  <si>
    <t xml:space="preserve">Formulario de asistencia. </t>
  </si>
  <si>
    <t>Desde la Ventanilla Única de Correspondencia se realizó la recepción y entrega formal en el FT -33 de los documentos físicos recibidos en el cuatrimestre al Centro de Administración Documental- CAD.</t>
  </si>
  <si>
    <t xml:space="preserve">Los colaboradores del proceso de Gestión Documental realizaron la inserción de los documentos recibidos en los expedientes correspondientes. </t>
  </si>
  <si>
    <t xml:space="preserve">Hoja de control evidenciando la inserción documental </t>
  </si>
  <si>
    <t>Los colaboradores del proceso recibieron y gestionaron las solicitudes de creación de expedientes electrónicos que cumplieran con las características establecidas en el PD-25.</t>
  </si>
  <si>
    <t xml:space="preserve">Correo electrónicos </t>
  </si>
  <si>
    <t xml:space="preserve">Pantallazo TAMPUS </t>
  </si>
  <si>
    <t>Se realizó seguimiento mensual a la ejecución del PIGA en el marco del Comité de Autoevaluación y de la presentación de avances ante el Comité de gestión y desempeño, donde se reportó avance de las actividades del plan de acción del PIGA.</t>
  </si>
  <si>
    <t>Presentación avances Comité</t>
  </si>
  <si>
    <t>1. Registro fotográfico, inscripciones
2. Ver Indicadores del proceso
3. Correo electrónico
4.Piezas y registro fotográfico
5. Pieza programación
6.Piezas y registro fotográfico
7. Inscripciones y registro fotográfico
8, Piezas e inscripciones</t>
  </si>
  <si>
    <t>Pantallazo de los repositorios copia de seguridad.</t>
  </si>
  <si>
    <t>Se está realizando una migración de la información que se encuentra en nuestros servidores a la nube del proveedor con el fin de mejorar la disponibilidad del servicio.</t>
  </si>
  <si>
    <t>El monitoreo web se ha venido realizando permanentemente con el fin de verificar alertas de correo electrónico sobre fallos en la infraestructura de TI.</t>
  </si>
  <si>
    <t>El servicio de mantenimiento preventivo del hardware se realizó entre los meses de agosto y septiembre del 2022 como estaba programado en el plan de adquisiciones y contrato.</t>
  </si>
  <si>
    <t>Cronograma mantenimiento</t>
  </si>
  <si>
    <t>Se han generado los accesos lógicos solicitados dentro del periodo de medición de este informe, brindando la información correspondiente de los diferentes accesos como VPN, EruNet,GLPI, Cuenta de correo institucional,JSP7 y especialmente se hace énfasis en el repositorio owncloud que es donde se deposita la información institucional de la empresa</t>
  </si>
  <si>
    <t>Se han revisado las solicitudes con el fin de procesar las novedades con el objetivo de crear los usuarios correspondientes para dar respuesta los requerimientos.</t>
  </si>
  <si>
    <t>Plan Estratégico de Tecnologías de la Información 2022-2026.</t>
  </si>
  <si>
    <t xml:space="preserve">Se realizó acompañamiento a la Subgerencia de Gestión de Proyectos en la adquisición de “Construdata” herramienta informativa en los servicios de :
• Disponibilidad inmediata de la información.
• Alcance más amplio.
• Flexibilidad para lectores.
• Apoyo al mundo verde.
• Información actualizada de proyectos de infraestructura.
• Información actualizada de proyectos inmobiliarios.
• Información actualizada de proyectos urbanísticos.
</t>
  </si>
  <si>
    <t>Actas de reunión.</t>
  </si>
  <si>
    <t>Se realizaron los mantenimientos correspondientes a las órdenes de servicio quedando como evidencia las actas en el expediente de los contratos.</t>
  </si>
  <si>
    <t>Los servicios de mantenimiento están cubiertos hasta 30-05-2023 mediante contrato 327-2021, por lo anterior no se ha iniciado proceso de nueva contratación.</t>
  </si>
  <si>
    <t>Medición de los indicadores de entrega de informes y presentación obligaciones tributarias,  allí se describen el nombre del reporte y la periodicidad en la cual se debe realizar el reporte y en la fecha que se reportó</t>
  </si>
  <si>
    <t>Se realizó el seguimiento mensual de los reportes a entes internos y externos a través de la medición de los indicadores de gestión financiera, donde se encuentra establecido el reporte, la periodicidad y la fecha límite de reporte Vs. La fecha del reporte enviado.</t>
  </si>
  <si>
    <t>Hoja de vida indicador: Oportunidad en la entrega de informes del proceso a entidades administrativas de control
Hoja de vida indicador: Oportunidad en la presentación y pago de las Obligaciones Tributarias</t>
  </si>
  <si>
    <t>Se realizó la presentación de las obligaciones tributarias de la Empresa, con la correspondiente validación y revisión de la Revisoría fiscal y Asesor Tributario, como evidencia se remiten las hojas de ruta del proceso</t>
  </si>
  <si>
    <t>Como evidencia de las acciones, se cuenta con  las hojas de ruta del proceso de verificación y validación de los formularios de declaración de impuestos realizadas.</t>
  </si>
  <si>
    <t>El comité financiero sesionó el 23 de agosto de 2022 con el fin de recomendar y viabilizar el Plan Financiero Plurianual, así como el anteproyecto del presupuesto anual de la Empresa para concepto favorable de la Junta Directiva.
Así mismo y de acuerdo con la aprobación del Plan Financiero por parte del CONFIS y la asignación de Cuota de transferencia 2023, el Comité sesionó el 21 de octubre para viabilizar el Anteproyecto de presupuesto 2023.</t>
  </si>
  <si>
    <t xml:space="preserve">El 29 de agosto se radico ante la Secretaría Distrital de Hacienda el Plan Financiero Plurianual 2023 para aprobación del CONFIS, el cual fue aprobado el 14 de octubre 2022 en la sesión No. 20, así mismo, SDH en el marco del proceso de programación presupuestal 2023 de conformidad al Plan Financiero aprobado por el CONFIS, asignó la cuota de transferencia bajo el radicado No. 2022EE479766O1. 
Con base en lo anterior, se presentó el anteproyecto de presupuesto 2023 ante la Junta Directiva de la Empresa para su aprobación, el cual fue aprobado bajo el acuerdo 46 de 2022 y presentado ante el CONFIS, quienes aprobaron el presupuesto de Rentas e Ingresos, Gastos e Inversiones 2023 de la Empresas Industriales entre estas la Empresa de Renovación y Desarrollo Urbano de Bogotá bajo la Resolución 19 de 2022.
De acuerdo con el presupuesto aprobado, la Junta Directiva, aprobó el Presupuesto 2023 de la Empresa bajo la Resolución 248 del 15 de diciembre 2022.
</t>
  </si>
  <si>
    <t>Aprobación Plan Financiero
Asignación Cuota SDH
Aprobación presupuesto 2023
Resolución Liquidación Presupuesto 2023</t>
  </si>
  <si>
    <t>Como evidencia de las acciones, se cuenta con  los formatos de conciliación de información financiera ejecutados.</t>
  </si>
  <si>
    <t xml:space="preserve">Se realizaron las respectivas validaciones y verificaciones de los Procesos de Pago. </t>
  </si>
  <si>
    <t>Como evidencia de las acciones, se cuenta con los correos electrónicos de evidencia de verificación del proceso de pagos.</t>
  </si>
  <si>
    <t>Se remitió versión ajustada de acuerdo con la actualización sugerida por la Tesorería y se solicitó enviar para aprobación a la SGC</t>
  </si>
  <si>
    <t>Correo electrónico de remisión de versión del protocolo de seguridad.</t>
  </si>
  <si>
    <t xml:space="preserve">Se realizaron las respectivas validaciones y verificaciones de los procesos de pago. </t>
  </si>
  <si>
    <t>Se realizaron las actividades del Plan de Seguridad y Salud en el Trabajo definidas para esta vigencia.</t>
  </si>
  <si>
    <t>Como evidencia se cuenta con el cronograma de actividades del Plan de SST.</t>
  </si>
  <si>
    <t>Se realizó el seguimiento correspondiente a las actividades del  Plan de Seguridad y Salud en el trabajo definidas para esta vigencia.</t>
  </si>
  <si>
    <t>El Profesional de Seguridad y Salud en el Trabajo anualmente se encuentra en proceso de revisión de la lista de chequeo de la Resolución 0312 de 2019, lo anterior con el objetivo de validar el cumplimiento de los requisitos, para dar cumplimiento a la  Resolución 0312 de 2019.</t>
  </si>
  <si>
    <t>Lista de chequeo.</t>
  </si>
  <si>
    <t>La actividad de Actualización anual a la matriz legal de Salud y Seguridad en el Trabajo se encuentra en proceso.</t>
  </si>
  <si>
    <t>Se dio cumplimiento al cronograma de actividades del Plan de bienestar y capacitación, incorporado en el PETH.</t>
  </si>
  <si>
    <t>Cronograma PETH</t>
  </si>
  <si>
    <t>Se realizó el seguimiento trimestral correspondiente a las actividades del Plan de bienestar y capacitación,  incorporado en el PETH.</t>
  </si>
  <si>
    <t>Para el perdió de medición de este informe se realizó Capacitación superior a 8 horas, para dicha Capacitación se está implementando lo definido en el GI-35.</t>
  </si>
  <si>
    <t>FT- 141 Evaluación de las actividades de capacitación o la Encuesta de satisfacción.</t>
  </si>
  <si>
    <t xml:space="preserve">Se realizó solicitud de seguimiento y evaluación a los acuerdos  de gestión suscritos para el 2022 y correo de divulgación de capacitación realizada por el DASCD sobre Seguimientos de Acuerdos Gestión.
 </t>
  </si>
  <si>
    <t>Como evidencia se cuenta con correos de solicitud así como seguimientos a los acuerdos.</t>
  </si>
  <si>
    <t>Se realizó reporte del estado del seguimiento y evaluación de los acuerdos de gestión, el cual cuenta con No Radicado: I2022001968.</t>
  </si>
  <si>
    <t>Radicado: I2022001968.</t>
  </si>
  <si>
    <t>El Estatuto y Código de Ética se encuentra en proceso de actualización, una vez se actualice se procederá a su socialización a los Auditores de la OCI y al grupo de Auditores de Calidad.  Sin embargo se realzo socialización del Estatuto y Código de Ética vigentes el 29 de abril de 2022</t>
  </si>
  <si>
    <t>Informe Final Ciclo Auditorias Internas de Calidad 2022 
Informe Final Auditoria Contratación transversal -   (Plan de Trabajo - listado de Asistencia)</t>
  </si>
  <si>
    <t>Plan Anual de Auditorias aprobado en el 27 de Enero de 2022 Acta No. 1 Comité CICCI, Este plan cuenta con todas las hojas donde se realizo el análisis y se determino el universo de auditorias para la Empresa.</t>
  </si>
  <si>
    <t xml:space="preserve">Acta No. 1 Comité CICCI
http://www.eru.gov.co/es/transparencia/planeacion-presupuesto-e-informes/plan-de-accion?title=auditoria&amp;field_subcategoria_planeacion_value=All </t>
  </si>
  <si>
    <r>
      <rPr>
        <b/>
        <sz val="11"/>
        <color theme="1"/>
        <rFont val="Arial Narrow"/>
        <family val="2"/>
      </rPr>
      <t>1. Se estableció el ranking de auditores con los equipos auditores que participaron en la implementación del Ciclo de Auditorías Internas de Calidad 2022.</t>
    </r>
    <r>
      <rPr>
        <sz val="11"/>
        <color theme="1"/>
        <rFont val="Arial Narrow"/>
        <family val="2"/>
      </rPr>
      <t xml:space="preserve">
2. Seguimiento semestral Indicador denominado "Efectividad de las Acciones Formuladas en los Planes de Mejoramiento por Procesos."</t>
    </r>
  </si>
  <si>
    <t>1. RAD I2022001660 INFORME INTEGRAL DESEMPEÑO DE AUDITORES – CICLO AUDITORÍAS INTERNAS DE CALIDAD - 2022.
2. http://186.154.195.124/mipg-sig?title=&amp;field_proceso_target_id=160
Indicadores Evaluación y Seguimiento 2022 Agosto 2022</t>
  </si>
  <si>
    <t>Se estableció el ranking de auditores con los equipos auditores que participaron en la implementación del Ciclo de Auditorías Internas de Calidad 2022.</t>
  </si>
  <si>
    <t>1. RAD I2022001660 INFORME INTEGRAL DESEMPEÑO DE AUDITORES – CICLO AUDITORÍAS INTERNAS DE CALIDAD - 2022.</t>
  </si>
  <si>
    <t>Drive Auditorias Auditoria Contratación transversal
Drive Ciclo Auditorias Internas de Calidad 2022</t>
  </si>
  <si>
    <t>http://www.eru.gov.co/index.php/es/node/2756</t>
  </si>
  <si>
    <t>A la fecha no se ha realizado capacitaciones</t>
  </si>
  <si>
    <t>1. Plan Anual de Auditoria Vigencia 2022 V1, V2 y V3
2. Plan de Trabajo Auditoria Contratación transversal
3. Plan de Trabajo Ciclo Auditorias Internas de Calidad 2022 
4. Plan de Trabajo Auditoria Proceso Terceros Concurrentes
5. Plan de Trabajo Costeo de los proyectos y rentabilidad de la Empresa
6. Plan de Trabajo Voto Nacional (Incluye Edificio Formación para el Trabajo)
7. Plan de Trabajo Servicios Administrativos y de apoyo - PIGA - Talento Humano -  Servicios Logísticos</t>
  </si>
  <si>
    <t>1. http://www.eru.gov.co/es/transparencia/planeacion-presupuesto-e-informes/plan-de-accion?title=auditoria&amp;field_subcategoria_planeacion_value=All 
2. Plan de Trabajo Auditoria Contratación transversal
3. Plan de Trabajo Ciclo Auditorias Internas de Calidad 2022 
4. Plan de Trabajo Auditoria Proceso Terceros Concurrentes
5. Plan de Trabajo Costeo de los proyectos y rentabilidad de la Empresa
6. Plan de Trabajo Voto Nacional (Incluye Edificio Formación para el Trabajo)
7. Plan de Trabajo Servicios Administrativos y de apoyo - PIGA - Talento Humano -  Servicios Logísticos</t>
  </si>
  <si>
    <t>FT-216 Acuerdo de confidencialidad, declaración de impedimentos, inhabilidades y conflictos de intereses V1</t>
  </si>
  <si>
    <t>El formato para suscribir la declaración de impedimentos y conflictos de interés de los auditores se encuentra publicado en la Erunet de la Empresa</t>
  </si>
  <si>
    <t>1. Reunión de Apertura Auditoria Contratación transversal
Plan de Trabajo Auditoria Contratación transversal
2. Reunión de Apertura  Ciclo Auditorias Internas de Calidad 2022 
 Plan de Trabajo Ciclo Auditorias Internas de Calidad 2022 
3. Reunión de Apertura  Auditoria Proceso Terceros Concurrentes
Plan de Trabajo Auditoria Proceso Terceros Concurrentes
4. Reunión de Apertura  Costeo de los proyectos y rentabilidad de la Empresa
5. Reunión de Apertura de Trabajo Costeo de los proyectos y rentabilidad de la Empresa
6. Reunión de Apertura Voto Nacional (Incluye Edificio Formación para el Trabajo)
7. Reunión de Apertura Servicios Administrativos y de apoyo - PIGA - Talento Humano -  Servicios Logísticos</t>
  </si>
  <si>
    <t>1. Lista de Asistencia Reunión de Apertura Auditoria Contratación transversal
Plan de Trabajo Auditoria Contratación transversal
2. Lista de Asistencia Reunión de Apertura  Ciclo Auditorias Internas de Calidad 2022 
 Plan de Trabajo Ciclo Auditorias Internas de Calidad 2022 
3. Lista de Asistencia Reunión de Apertura  Auditoria Proceso Terceros Concurrentes
Plan de Trabajo Auditoria Proceso Terceros Concurrentes
4. Lista de Asistencia Reunión de Apertura  Costeo de los proyectos y rentabilidad de la Empresa
5.  Lista de Asistencia de Trabajo Costeo de los proyectos y rentabilidad de la Empresa
6.  Lista de Asistencia Voto Nacional (Incluye Edificio Formación para el Trabajo)
7.  Lista de Asistencia Servicios Administrativos y de apoyo - PIGA - Talento Humano -  Servicios Logísticos</t>
  </si>
  <si>
    <t>Acta de Comité CICCI  No.3</t>
  </si>
  <si>
    <t>Acta de Comité CICCI  No.4</t>
  </si>
  <si>
    <t>Producto de esta auditoria y de la auditoria de precertificación el proceso cuenta con 22 Acciones de mejora en Plan de Mejoramiento por procesos y a la fecha del seguimiento ha finalizado 18 acciones.</t>
  </si>
  <si>
    <t>Recepción de correos. Evaluación de la información. Envío a fiduciarias con observaciones. Reunión para aclarar observaciones.</t>
  </si>
  <si>
    <t>Correos electrónicos. Reuniones en calendario</t>
  </si>
  <si>
    <t>Los acuerdos de niveles de servicios se encuentran incluidos en la actualización de los Manuales Operativos y Manual de Contratación que se encuentra en revisión y aprobación por parte la Dirección de Gestión Contractual</t>
  </si>
  <si>
    <t>Borrador del los manuales operativos de Alianza y Colpatria</t>
  </si>
  <si>
    <t>Revisión y diligenciamiento de información en carpeta en drive de la Empresa. Envío al coordinador de fiducias para posterior envío, aprobación y remisión por parte del Subgerente de Gestión Inmobiliaria</t>
  </si>
  <si>
    <t>Correos electrónicos</t>
  </si>
  <si>
    <t>Actividad finalizada en el cuatrimestre anterior con el nuevo proceso de instrucciones con Scotiabank Colpatria</t>
  </si>
  <si>
    <t>Presentación realizada a la Gerencia ERU</t>
  </si>
  <si>
    <t>El 21 de septiembre y el 25 de octubre de 2022, se realizaron asesorías virtuales para obtener información acerca del trámite  "Cumplimiento de la obligación VIS-VIP a través de compensación económica",  se informa que  no tiene ningún costo y se deja registro en G-Meet.</t>
  </si>
  <si>
    <t>Calendario G-Meet - Información sobre la atención virtual realizada.</t>
  </si>
  <si>
    <t>Se reportó de manera mensual la información a actualizar del trámite "Cumplimiento de la obligación VIS-VIP a través de compensación económica" en la Guía de Trámites y Servicios y en el Sistema Único de Información y Trámites - SUIT.</t>
  </si>
  <si>
    <t>Se aportan correos electrónicos a través de los cuales se solicita e informa sobre la actualización  del trámite "Cumplimiento de la obligación VIS-VIP a través de compensación económica" en la Guía de Trámites y Servicios y en el Sistema Único de Información y Trámites - SUIT.</t>
  </si>
  <si>
    <t xml:space="preserve">Semanalmente, la Gerencia de Estructuración de Proyectos, realiza el seguimiento al tablero de proyectos, en el cual se describen los avances y dificultades presentados en los proyectos a su cargo y que son responsabilidad de la SGI. </t>
  </si>
  <si>
    <t>Tablero de control Proyectos</t>
  </si>
  <si>
    <t>El 21 de noviembre de 2022, se actualizo el procedimiento de Modelaciones financieras de los proyectos en su versión 2.</t>
  </si>
  <si>
    <t>Procedimiento PD-75 Actualizado versión 2</t>
  </si>
  <si>
    <t>Se realizan reuniones de seguimiento con los  Fideicomitentes Desarrolladores y Constructores para verificar el estado de ejecución de cada proyecto y los trámites que estén pendientes ante entidades para prestar acompañamiento y realizar gestiones direccionadas a agilizar las aprobaciones y entregas pendientes.</t>
  </si>
  <si>
    <t>Actas de reunión con los Fideicomitentes Desarrolladores y Constructores.</t>
  </si>
  <si>
    <t>Acatas del actas del Comité de Defensa Judicial, Conciliación y Repetición</t>
  </si>
  <si>
    <t>Piezas procesales subidas en SIPROJ WEB</t>
  </si>
  <si>
    <t xml:space="preserve">En la matriz de procesos judiciales, la dependiente judicial incorporó todas las actuaciones nuevas. </t>
  </si>
  <si>
    <t xml:space="preserve">base de datos de procesos judiciales </t>
  </si>
  <si>
    <t xml:space="preserve">Acta de reunión No. 1 de fecha 24 de octubre de 2022.                                                                                                                                                                                                                                                                                                                                                                                                                                                    Acta de reunión No. 2 de fecha 1 de noviembre de 2022                                                                                                                                                                                                                                                                                                                                                                                                                                                           Acta de reunión No. 3 de fecha 14 de diciembre de 2022.                                                                                                                                                           </t>
  </si>
  <si>
    <t xml:space="preserve">Acta de reunión No. 1 de fecha 24 de octubre de 2022.                                                                                                                                                                                                                                                                                                                                                                                                                                                    Acta de reunión No. 2  de fecha 4 de noviembre de 2022                                                                                                                                                                                                                                                                                                                                                                                                                                                           Acta de reunión No. 3 de fecha 7 de diciembre de 2022.                                                                                                                                                           </t>
  </si>
  <si>
    <t>1. No se evidencian los Informes trimestrales presentados de acuerdo a lo establecido en los controles
2. No se evidencia la presentación a la Gerencia General de manera semanal, un reporte sobre el seguimiento a las actividades de ejecución de los proyectos de vivienda supervisados por la Gerencia de Vivienda.</t>
  </si>
  <si>
    <t>El proceso cuenta con evidencias de la socialización de la herramienta de seguimiento</t>
  </si>
  <si>
    <t>El procesos cuenta con el soporte comunicado.</t>
  </si>
  <si>
    <t xml:space="preserve">Seguimiento disponible en Drive compartido con la profesional y jefe de la oficina y Actas de reunión:                                       No. 1 de fecha 24 de octubre de 2022.                                                                                                                                                                                                                                                                                                                                                                                                                                                    No. 2  de fecha 4 de noviembre de 2022                                                                                                                                                                                                                                                                                                                                                                                                                                                           No. 3 de fecha 7 de diciembre de 2022.                                                                                                                                                           </t>
  </si>
  <si>
    <t xml:space="preserve">Seguimiento disponible en Drive compartido con la profesional y jefe de la oficina y Actas de reunión:                                       No. 1 de fecha 24 de octubre de 2022.                                                                                                                                                                                                                                                                                                                                                                                                                                                    No. 2  de fecha 1 de noviembre de 2022                                                                                                                                                                                                                                                                                                                                                                                                                                                           No. 3 de fecha 14 de diciembre de 2022.                                                                                                                                                           </t>
  </si>
  <si>
    <t>El reporte del control y las actividades de control se reportaron invertidos</t>
  </si>
  <si>
    <t xml:space="preserve">Se realizó el seguimiento de entregables  dando cumplimiento con las fechas establecidas por cada ente de control y vigilancia, sobre este se deja como evidencia </t>
  </si>
  <si>
    <t>Se expidió la Resolución 940 del 23 de diciembre de 2022 entre la ERU y la SDHT “Por la cual se adopta el reglamento para el cumplimiento de la obligación de destinar suelo útil y urbanizado o su equivalente en metros cuadrados de construcción para el desarrollo de vivienda de interés prioritario (VIP) y vivienda de interés social (VIS) en los tratamientos urbanísticos de desarrollo, renovación y consolidación, a través de la alternativa de pago compensatorio en proyectos que gestione la Empresa de Renovación y Desarrollo Urbano de Bogotá; se regula su recaudo, administración y destinación y se dictan otras disposiciones”</t>
  </si>
  <si>
    <t>Resolución 940 de 2022</t>
  </si>
  <si>
    <t>1. No hay evidencia de la reuniones bimensuales  de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
2. No se evidencian los reportes semanales a la Gerencia General sobre el seguimiento a las actividades de ejecución de los proyectos de vivienda supervisados por la Gerencia de Vivienda, de acuerdo a lo establecido en la Acción de tratamiento</t>
  </si>
  <si>
    <t>Durante el  tercer cuatrimestre se realizó un comité de autoevaluación.
Se diligenciaron los formatos de seguimiento para la ejecución del plan de gestión de los proyectos San Bernardo tercer Milenio, Fenicia, Calle 26  y Proscenio, los cuales se encuentran ubicados en las carpetas de los respectivos proyectos
Para las adiciones de los contratos de tiene la oficina de Gestión Social en la presente vigencia se encuentra contemplada la obligación: "Guardar estricta reserva sobre toda la información y documentos que tenga acceso"; se ponen como evidencia los 23 contratos suscritos en la vigencia 2022 por parte de la oficina de gestión social: 294-2022,298-2022,300-2022,307-2022,308-2022,309-2022,315-2022,316-2022,318-2022,319-2022,320-2022,322-2022,323-2022,325-2022,326-2022,327-2022,329-2022,330-2022,332-2022,333-2022,336-2022,337-2022 y 358-2022</t>
  </si>
  <si>
    <t>El profesional de Inventarios realizo la actualización correspondiente de acuerdo al ingreso o salida de Colaboradores o por cambios en equipos de computo, adicionalmente se ejecutaron las actividades descritas en el PD-59.</t>
  </si>
  <si>
    <t>Actualización Inventario, PD-21, Informe de Inventarios Agosto - septiembre de 2022.</t>
  </si>
  <si>
    <t>Se realizaron reuniones con los contratistas de servicios  logísticos con el fin de hacer seguimiento al desarrollo de las actividades y obligaciones.</t>
  </si>
  <si>
    <t>Actas de reunión</t>
  </si>
  <si>
    <t>Correo de socialización.</t>
  </si>
  <si>
    <t xml:space="preserve">El profesional del Proceso socializó la actualización del Sistema Integrado de Conservación Documental, la cual fue enviada a validación por el Archivo de Bogotá D.C. </t>
  </si>
  <si>
    <t>Durante el cuatrimestres se desarrollaron las actividades programadas en el Plan Institucional de Archivos PINAR .</t>
  </si>
  <si>
    <t xml:space="preserve">Formato Único de Inventario Documental - Traslado documental </t>
  </si>
  <si>
    <t xml:space="preserve">Se crearon los expedientes electrónicos en el SGDEA- TAMPUS, de acuerdo con las solicitudes recibidas mediante correo electrónico. </t>
  </si>
  <si>
    <t xml:space="preserve">En la matriz de seguimiento la dependiente judicial incorpora los nuevos estados que salgan dentro de los procesos judiciales </t>
  </si>
  <si>
    <t>En este ultimo cuatrimestre se celebraron 8 comités de actas del Comité de Defensa Judicial, Conciliación y Repetición, y sus respectivas actas se encuentran subidas en el Siproj web</t>
  </si>
  <si>
    <t>Cada uno de los abogados del equipo de defensa judicial  cargo las respectivas fichas presentadas ante el actas del Comité de Defensa Judicial, Conciliación y Repetición</t>
  </si>
  <si>
    <t xml:space="preserve">En este cuatrimestre se realizaron verificaciones de los procesos judiciales que adelanta la empresa como demandado o demandante en el Siproj encontrando que todos los procesos se encuentran con sus piezas procesales debidamente subidas </t>
  </si>
  <si>
    <t xml:space="preserve">En la matriz de seguimiento la dependiente judicial incorpora los estados que salgan dentro de los procesos judiciales </t>
  </si>
  <si>
    <t xml:space="preserve">La dependiente judicial revisó en este cuatrimestre los procesos judiciales e incorporo en la base de datos la información de las actuaciones nuevas </t>
  </si>
  <si>
    <t>Todos las solicitudes radicadas en la DGC se tramitan a través de la plataforma transaccional SECOP II y se constata su recomendación previa de trámite, a través de las actas de las respectivas sesiones del comité de contratación.</t>
  </si>
  <si>
    <t xml:space="preserve">el 2022 se adelantaron  39 comités de contratación, sus correspondientes actas  se encuentran alojadas en el TAMPUS:
520.2.07. Actas del Comité de Contratación
</t>
  </si>
  <si>
    <t xml:space="preserve">Se realizan siguiente mensual al Plan Anual de Adquisidores y Plan de Inversión, cuando se detectan retrasos en su ejecución se envía a las diferentes dependencias comunicaciones internas con el fin de evidenciar el avance en los procesos de contratación programados </t>
  </si>
  <si>
    <t>En este periodo se han adelantado 2 comunicaciones internas a las diferentes áreas a las cuales se les ha detectado un retraso con el fin de generar alerta al respecto, a continuación se relacionan los números de radicados: 
I2022003106
I2022003107</t>
  </si>
  <si>
    <t>En el presente periodo se han actualizado los formatos relacionados a continuación, los cuales se han socializado con la Empresa a través de correo electrónico y reunión a través de MEET para aclarar dudas al respecto de su uso.
FT-213 Constancia de cierre Expediente Contractual V1
FT-212 Acta de Liquidación de contratos V1
FT-23 Lista de chequeo requisitos básicos de contratación V8</t>
  </si>
  <si>
    <t>Durante el perdido de medición de este informe se realizaron las siguientes actividades relacionadas con divulgación, capacitación del PIGA:
1. Ciclopaseo al Humedal el Salitre con el apoyo del IDRD
2. Seguimiento energía, residuos y consumo papel: ver Indicadores del Proceso 
3. Seguimiento diario movilidad
4. Charla: Qué es la movilidad sostenible?, Beneficios ambientales con SST en el marco de la semana de la bici
5. Semana de la bici
6. Charla sobre "Cultura del agua" en los miércoles sostenibles 
7. Se realizó la caminata al sendero de La Aguadora
8, Charla Botellas de Amor</t>
  </si>
  <si>
    <t>Se realizaron  seguimientos donde se verificaron los avances presupuestales conformes a las actividades realizadas con el fin de identificar los logros alcanzados.
Se realizo auditoria por parte de la oficina de control interno donde se realizo seguimiento a la ejecución del PACA y logro evidenciar el cumplimiento satisfactorio de lo estipulado para ejecución.</t>
  </si>
  <si>
    <t>Reporte seguimiento.
Correo con seguimiento para Auditoria</t>
  </si>
  <si>
    <t>Se realizó reunión con la Secretaria Distrital de Ambiente con el objetivo de revisar los formatos 31 y 32 los cuales identifican los lineamientos establecidos en el PACA. Como resultado de la revisión por parte de la Secretaria se evidencio que se está dando cumplimiento a las metas establecidas en el PACA y se procedió a hacer el correspondiente cargue. a Storm.</t>
  </si>
  <si>
    <t>Comunicación de la secretaria informando la aprobación para subir la información a la herramienta  STORM WEB</t>
  </si>
  <si>
    <t>Se realizó el seguimiento a la matriz de quejas y reclamos y a los informes de calidad en las repuestas emitidos por la Alcaldía Mayor de Bogotá</t>
  </si>
  <si>
    <t xml:space="preserve">Con relación a los incumplimiento en los criterios de respuesta encontrados,  se envió memorando a los jefes de área y se programaron las capacitaciones funcionales. </t>
  </si>
  <si>
    <t>Correos de requerimiento.</t>
  </si>
  <si>
    <t>Novedades de acceso lógico.</t>
  </si>
  <si>
    <r>
      <t xml:space="preserve">Para la esta vigencia la solicitud de presupuesto se realizo con los proyectos registrados en el PETI, lo anterior dado que los proyectos de TI que cubren las necesidades se plantearon en dicho Plan de acuerdo a lo descrito en el numeral </t>
    </r>
    <r>
      <rPr>
        <b/>
        <i/>
        <sz val="11"/>
        <rFont val="Arial Narrow"/>
        <family val="2"/>
      </rPr>
      <t>7.2.7  Estimación de Costos 7.2.4.1 Principales Proyectos</t>
    </r>
    <r>
      <rPr>
        <sz val="11"/>
        <rFont val="Arial Narrow"/>
        <family val="2"/>
      </rPr>
      <t xml:space="preserve">. Así las cosas, para la vigencia 2023 se validara la pertinacia de  este control, ya que la proyección del presupuesto se realizara con el Plan Estratégico de Tecnologías de la Información 2022-2026.
</t>
    </r>
  </si>
  <si>
    <t>Evidencia contrato 327-2021 mantenimiento equipos de computo.</t>
  </si>
  <si>
    <t xml:space="preserve">Evidencia contrato 327-2021 mantenimiento equipos de computo. </t>
  </si>
  <si>
    <t xml:space="preserve">El monitoreo web se ha venido realizando permanentemente con el fin de verificar la disponibilidad y el funcionamiento de los aplicativos.
</t>
  </si>
  <si>
    <t>Se realizo el  seguimiento al contrato que soporta los servicios de TI y se realizaron actividades de capacitación.</t>
  </si>
  <si>
    <t xml:space="preserve">Evidencias capacitación. </t>
  </si>
  <si>
    <t>Seguimiento de la revisión y verificación de la información tributaria por parte de la revisoría fiscal y asesor tributario</t>
  </si>
  <si>
    <t>Dentro del seguimiento se realizan las siguientes actividades:
1) Se realiza el cruce de auxiliares versus la declaración a presentar.
2) Se revisaron los movimientos contables conforme a libros auxiliares, suministrados.
de acuerdo a muestra seleccionada.
3) Se valida la auto renta declarada tanto en base como en porcentaje aplicado
4) Se verifica la oportunidad de pago del periodo del mes anterior
5) Se valida la fecha limite de presentación del impuesto a presentar</t>
  </si>
  <si>
    <t>Se ha realizado  la conciliación de información confrontando  la información registrada frente a la ejecutada de los recursos financieros de la Empresa, con el propósito de asegurar el seguimiento a los recursos financieros.</t>
  </si>
  <si>
    <t>El  procedimiento se encuentra etapa de ajustes de observaciones recibidas por parte de la Oficina de Planeación  por parte del proceso de Contabilidad.</t>
  </si>
  <si>
    <t>Correo recibido por la Oficina de Planeación.</t>
  </si>
  <si>
    <t>El proceso no reporto avance de  las acciones de tratamiento por lo que se mantiene el porcentaje asignado en el segundo Seguimiento.</t>
  </si>
  <si>
    <t>1. Informe Final Ciclo Auditorias Internas de Calidad 2022 
2. Informe Final Auditoria Contratación transversal
3. Informe Final   Auditoria Proceso Terceros Concurrentes
Plan de Trabajo Auditoria Proceso Terceros Concurrentes
4. Informe Final  Costeo de los proyectos y rentabilidad de la Empresa
5.  Informe Final  Costeo de los proyectos y rentabilidad de la Empresa
6.  Informe Final  Voto Nacional (Incluye Edificio Formación para el Trabajo)
7.  Lista de Asistencia Informe Final  Servicios Administrativos y de apoyo - PIGA - Talento Humano -  Servicios Logísticos</t>
  </si>
  <si>
    <t xml:space="preserve">Cada vez que se ejecuta un trabajo de auditoria, el auditor líder compila la información insumo resultante del trabajo de auditoría en un drive asociado al correo de la Jefe de la Oficina de Control Interno para su protección y resguardo, quien verifica su contenido, a lo cual el proceso Gestión de TIC realiza el Backus respectiva. </t>
  </si>
  <si>
    <t xml:space="preserve">El 24 de octubre de 2022 se realizó reunión entre la Jefe de disciplinarios y la profesional del área donde se establecieron las pruebas y las decisiones a tomar dentro del proceso disciplinario No. 008-2022.                                                                                                                           El 1 de noviembre de 2022 se realizó la reunión entre la Jefe de disciplinarios y la profesional del área donde se revisaron las pruebas y la toma de decisiones dentro del proceso No. 007-2022.                                                                                                                                                         El 14 de diciembre de 2022 se realizó la reunión entre la Jefe de disciplinarios y la profesional del área donde se verificaron las pruebas y la decisión a tomar dentro del proceso disciplinario No. 069-2018. </t>
  </si>
  <si>
    <t xml:space="preserve">Reuniones en las que se  revisaron expedientes priorizados en los que el recaudo de pruebas finalizó, llegando a un acuerdo respecto de la decisión que se adoptará a saber:                                                                                                                                                      Reunión de fecha 24 de octubre de 2022.                                                                                                                                                                                                                                                                                                                                                                                                                                                    Reunión de fecha 1 de noviembre de 2022                                                                                                                                                                                                                                                                                                                                                                                                                                                           Reunión de fecha 14 de diciembre de 2022.                                                         Seguimiento  disponible en Drive, a las solicitudes de pruebas dentro de los expedientes que se encuentran en términos para tomar decisiones respecto de la formulación de cargos o del auto de terminación y archivo definitivo                                                               </t>
  </si>
  <si>
    <t xml:space="preserve">El 24 de octubre de 2022 se realizó reunión entre la Jefe de disciplinarios y la profesional del área donde se verificaron los términos de prescripción del proceso No. 008-2022.                            El 4 de noviembre de 2022 se realizó la reunión entre la Jefe de disciplinarios y la profesional del área donde se verificaron los términos de prescripción del proceso No. 007-2022.                              El 7 de diciembre de 2022 se realizó la reunión entre la Jefe de disciplinarios y la profesional del área donde se verificaron los términos de prescripción del proceso No. 006-2022. </t>
  </si>
  <si>
    <t xml:space="preserve">Reuniones en las que se verificaron los términos de prescripción de procesos, a saber:                                                                                        Reunión de fecha 24 de octubre de 2022.                                                                                                                                                                                                                                                                                                                                                                                                                                                    Reunión de fecha 4 de noviembre de 2022                                                                                                                                                                                                                                                                                                                                                                                                                                                           Reunión de fecha 7 de diciembre de 2022.                                                            Actualización del archivo de seguimiento disponible en Drive con las actuaciones realizadas en el mes                                                                                                                                                       </t>
  </si>
  <si>
    <t xml:space="preserve">Actas de los Comités de Proyectos realizados durante los meses de septiembre, octubre, noviembre y diciembre, así: 
No.3: 14.09.22, No. 4: 19.10.22, No.5: 09.11.22, No.6: 23.11.22. </t>
  </si>
  <si>
    <t>La SGU estableció una acción de tratamiento que se desarrollo el dia 11 de octubre de 2022, a través, de una capacitación de directrices y adecuado tratamiento de datos e información confidencial de manera virtual al interior de la Subgerencia.</t>
  </si>
  <si>
    <t>En cumplimiento a lo establecido en los controles, el equipo de estudios previos de la SGDP, desarrollo las siguientes actividades:
*Se estructuraron 10 procesos de selección
*Se realizaron 5 Comités de Contratación
*Se realizaron  2 Comités Fiduciarios
*Se revisaron y radicaron 10 solicitudes de procesos de selección y contratación.</t>
  </si>
  <si>
    <r>
      <rPr>
        <sz val="11"/>
        <color theme="1"/>
        <rFont val="Arial Narrow"/>
        <family val="2"/>
      </rPr>
      <t>Se adelantaron los siguientes procesos selección y contratación (se adjuntan radicados):</t>
    </r>
    <r>
      <rPr>
        <sz val="11"/>
        <color rgb="FFFF0000"/>
        <rFont val="Arial Narrow"/>
        <family val="2"/>
      </rPr>
      <t xml:space="preserve">
</t>
    </r>
    <r>
      <rPr>
        <sz val="11"/>
        <color theme="1"/>
        <rFont val="Arial Narrow"/>
        <family val="2"/>
      </rPr>
      <t xml:space="preserve">*Proceso Estudios y diseños Nodos Cable San  Cristóbal  y su interventoría
*Proceso estudios ambiental, geológico, geotécnico y análisis de amenazas para la formulación de la modificación del Plan Parcial de desarrollo tres quebradas en la ciudad de Bogotá D.C.
*Proceso ciudadela nuevo Usme (Obras complementarias).
*Proceso de mantenimiento de predios </t>
    </r>
    <r>
      <rPr>
        <sz val="11"/>
        <color rgb="FFFF0000"/>
        <rFont val="Arial Narrow"/>
        <family val="2"/>
      </rPr>
      <t xml:space="preserve">
</t>
    </r>
    <r>
      <rPr>
        <sz val="11"/>
        <color theme="1"/>
        <rFont val="Arial Narrow"/>
        <family val="2"/>
      </rPr>
      <t>*Proceso principal Usme 2 IDIPRON y su interventoría.</t>
    </r>
    <r>
      <rPr>
        <sz val="11"/>
        <color rgb="FFFF0000"/>
        <rFont val="Arial Narrow"/>
        <family val="2"/>
      </rPr>
      <t xml:space="preserve">
</t>
    </r>
    <r>
      <rPr>
        <sz val="11"/>
        <color theme="1"/>
        <rFont val="Arial Narrow"/>
        <family val="2"/>
      </rPr>
      <t>*Proceso primeros auxilios BIC San Bernardo
*Proceso cerramiento predio Bosa
*Interventoría de obra Edificio de Mantenimiento Proyecto CHSJD (contratación Directa)</t>
    </r>
    <r>
      <rPr>
        <sz val="11"/>
        <color rgb="FFFF0000"/>
        <rFont val="Arial Narrow"/>
        <family val="2"/>
      </rPr>
      <t xml:space="preserve">
</t>
    </r>
    <r>
      <rPr>
        <b/>
        <u/>
        <sz val="11"/>
        <color theme="1"/>
        <rFont val="Arial Narrow"/>
        <family val="2"/>
      </rPr>
      <t>Comités de Contratación:</t>
    </r>
    <r>
      <rPr>
        <sz val="11"/>
        <color rgb="FFFF0000"/>
        <rFont val="Arial Narrow"/>
        <family val="2"/>
      </rPr>
      <t xml:space="preserve">
</t>
    </r>
    <r>
      <rPr>
        <sz val="11"/>
        <rFont val="Arial Narrow"/>
        <family val="2"/>
      </rPr>
      <t>Comité de Contratación No. 32 de fecha 06 de septiembre de 2022
Comité de Contratación No. 33 de fecha 23 de septiembre de 2022
Comité de Contratación No. 36 de fecha 21 de octubre de 2022
Comité de Contratación No. 38 de fecha 18  de noviembre de 2022
Comité de Contratación No.39 de fecha 29 de diciembre de 2022</t>
    </r>
  </si>
  <si>
    <t>Proyecto Alcaldía de Mártires:
*Acta parcial de obra No. 6, 7 y 8
*Acta parcial de interventoría No. 6, 7 y 8.
*1. Acta de recibo parcial No 2  Cto 079-2022 CHSJD.Estudios y diseños.
2. Acta parcial de obra No 4 Cto 076-2022. CHSJD</t>
  </si>
  <si>
    <t>No se evidencia avance en la acciones de tratamiento frente a lo reportado en el segundo cuatrimestre, por lo que se mantiene el porcentaje de avance del 66%</t>
  </si>
  <si>
    <t>Se realizó seguimiento predio a predio de los procesos que se encuentran en trámites de pago</t>
  </si>
  <si>
    <t>Se ha venido realizando la copia automática  del sistema JSP7 Gobierno, TAMPUS, GLPI. El profesional verifica que la copia quede en el repositorio correctamente.</t>
  </si>
  <si>
    <t>No se evidencia el seguimiento a las alertas que se han generado a la fecha tanto en los instrumentos como en las reuniones de seguimiento. De acuerdo a lo establecido en el control.</t>
  </si>
  <si>
    <t>Es importante revisar la acción de tratamiento establecida ya que esta no mitiga posibilidad de la materialización del Riesgo establecido, no se evidencia la socialización los controles establecidos en el procedimiento PD-95 Estructuración del proceso de selección de contratistas para los proyectos que adelante la Empresa.</t>
  </si>
  <si>
    <t>Es importante que el proceso revise la pertinencia de los controles y acción de tratamiento ya que son las mismas y estas deben ser diferentes ya que los controles son para gestionar los riesgos de acuerdo a los parámetros de la empresa y las leyes del país, el cual debe ser llevado a cabo por todo el personal. y las acciones de tratamiento son para mitigar la materialización del riesgo después de los controles.</t>
  </si>
  <si>
    <t>Revisar la acción de tratamiento ya que la parte inicial de la misma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son controles del proceso. Por otra parte, no se evidencian actividades referentes a jornadas de capacitación del código de integridad, con el equipo de trabajo.</t>
  </si>
  <si>
    <t>Revisar la pertinencia de la acción de tratamiento planteada y evaluar si la ejecución de la misma si contribuye a la mitigación del riesgo.</t>
  </si>
  <si>
    <t>Revisar la pertinencia de las siguientes acciones de tratamiento planteadas y evaluar si la ejecución de la misma si contribuye a la mitigación del riesgo ya que esta es parte del control:
Cargar las fichas y las actas del Comité de Defensa Judicial, Conciliación y Repetición al SIPROJ WEB.</t>
  </si>
  <si>
    <t>Revisar la pertinencia de la acción de tratamiento planteada (Realizar el seguimiento mensual sobre el cumplimiento de los entregables.) y evaluar si la ejecución de la misma si contribuye a la mitigación del riesgo ya que esta es parte del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</si>
</sst>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i/>
      <sz val="10"/>
      <color theme="1"/>
      <name val="Arial Narrow"/>
      <family val="2"/>
    </font>
    <font>
      <b/>
      <sz val="10"/>
      <color rgb="FFFF0000"/>
      <name val="Arial Narrow"/>
      <family val="2"/>
    </font>
    <font>
      <u/>
      <sz val="11"/>
      <color theme="10"/>
      <name val="Calibri"/>
      <family val="2"/>
      <scheme val="minor"/>
    </font>
    <font>
      <sz val="11"/>
      <color rgb="FFFF0000"/>
      <name val="Arial Narrow"/>
      <family val="2"/>
    </font>
    <font>
      <b/>
      <u/>
      <sz val="11"/>
      <color theme="1"/>
      <name val="Arial Narrow"/>
      <family val="2"/>
    </font>
    <font>
      <b/>
      <i/>
      <sz val="11"/>
      <name val="Arial Narrow"/>
      <family val="2"/>
    </font>
    <font>
      <sz val="8"/>
      <name val="Calibri"/>
      <family val="2"/>
      <scheme val="minor"/>
    </font>
    <font>
      <sz val="11"/>
      <color rgb="FF000000"/>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6">
    <xf numFmtId="0" fontId="0" fillId="0" borderId="0"/>
    <xf numFmtId="9" fontId="14" fillId="0" borderId="0" applyFont="0" applyFill="0" applyBorder="0" applyAlignment="0" applyProtection="0"/>
    <xf numFmtId="0" fontId="46" fillId="0" borderId="0"/>
    <xf numFmtId="0" fontId="47" fillId="0" borderId="0"/>
    <xf numFmtId="0" fontId="5" fillId="0" borderId="0"/>
    <xf numFmtId="0" fontId="62" fillId="0" borderId="0" applyNumberFormat="0" applyFill="0" applyBorder="0" applyAlignment="0" applyProtection="0"/>
  </cellStyleXfs>
  <cellXfs count="563">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2" borderId="12" xfId="0" applyFont="1" applyFill="1" applyBorder="1" applyAlignment="1" applyProtection="1">
      <alignment horizontal="center" wrapText="1" readingOrder="1"/>
      <protection hidden="1"/>
    </xf>
    <xf numFmtId="0" fontId="19" fillId="12" borderId="19" xfId="0" applyFont="1" applyFill="1" applyBorder="1" applyAlignment="1" applyProtection="1">
      <alignment horizontal="center" wrapText="1" readingOrder="1"/>
      <protection hidden="1"/>
    </xf>
    <xf numFmtId="0" fontId="19" fillId="11" borderId="0" xfId="0" applyFont="1" applyFill="1" applyAlignment="1" applyProtection="1">
      <alignment horizontal="center" vertical="center" wrapText="1" readingOrder="1"/>
      <protection hidden="1"/>
    </xf>
    <xf numFmtId="0" fontId="19" fillId="12" borderId="14" xfId="0" applyFont="1" applyFill="1" applyBorder="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12" borderId="16" xfId="0" applyFont="1" applyFill="1" applyBorder="1" applyAlignment="1" applyProtection="1">
      <alignment horizontal="center" wrapText="1" readingOrder="1"/>
      <protection hidden="1"/>
    </xf>
    <xf numFmtId="0" fontId="19" fillId="12" borderId="18"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19" xfId="0" applyFont="1" applyFill="1" applyBorder="1" applyAlignment="1" applyProtection="1">
      <alignment horizontal="center" wrapText="1" readingOrder="1"/>
      <protection hidden="1"/>
    </xf>
    <xf numFmtId="0" fontId="19" fillId="13" borderId="14" xfId="0" applyFont="1" applyFill="1" applyBorder="1" applyAlignment="1" applyProtection="1">
      <alignment horizontal="center" wrapText="1" readingOrder="1"/>
      <protection hidden="1"/>
    </xf>
    <xf numFmtId="0" fontId="19" fillId="13" borderId="0" xfId="0" applyFont="1" applyFill="1" applyAlignment="1" applyProtection="1">
      <alignment horizontal="center" wrapText="1" readingOrder="1"/>
      <protection hidden="1"/>
    </xf>
    <xf numFmtId="0" fontId="19" fillId="13" borderId="16" xfId="0" applyFont="1" applyFill="1" applyBorder="1" applyAlignment="1" applyProtection="1">
      <alignment horizontal="center" wrapText="1" readingOrder="1"/>
      <protection hidden="1"/>
    </xf>
    <xf numFmtId="0" fontId="19" fillId="13" borderId="18" xfId="0" applyFont="1" applyFill="1" applyBorder="1" applyAlignment="1" applyProtection="1">
      <alignment horizontal="center" wrapText="1" readingOrder="1"/>
      <protection hidden="1"/>
    </xf>
    <xf numFmtId="0" fontId="19" fillId="5" borderId="19" xfId="0" applyFont="1" applyFill="1" applyBorder="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19" fillId="5" borderId="18" xfId="0" applyFont="1" applyFill="1" applyBorder="1" applyAlignment="1" applyProtection="1">
      <alignment horizontal="center" wrapText="1" readingOrder="1"/>
      <protection hidden="1"/>
    </xf>
    <xf numFmtId="0" fontId="0" fillId="3" borderId="0" xfId="0" applyFill="1"/>
    <xf numFmtId="0" fontId="48" fillId="3" borderId="49" xfId="2" applyFont="1" applyFill="1" applyBorder="1"/>
    <xf numFmtId="0" fontId="48" fillId="3" borderId="50" xfId="2" applyFont="1" applyFill="1" applyBorder="1"/>
    <xf numFmtId="0" fontId="48" fillId="3" borderId="5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2" xfId="0" applyFont="1" applyFill="1" applyBorder="1" applyAlignment="1">
      <alignment horizontal="center" vertical="center" wrapText="1" readingOrder="1"/>
    </xf>
    <xf numFmtId="0" fontId="37" fillId="3" borderId="32" xfId="0" applyFont="1" applyFill="1" applyBorder="1" applyAlignment="1">
      <alignment horizontal="justify" vertical="center" wrapText="1" readingOrder="1"/>
    </xf>
    <xf numFmtId="9" fontId="36" fillId="3" borderId="41" xfId="0" applyNumberFormat="1" applyFont="1" applyFill="1" applyBorder="1" applyAlignment="1">
      <alignment horizontal="center" vertical="center" wrapText="1" readingOrder="1"/>
    </xf>
    <xf numFmtId="0" fontId="36" fillId="3" borderId="31" xfId="0" applyFont="1" applyFill="1" applyBorder="1" applyAlignment="1">
      <alignment horizontal="center" vertical="center" wrapText="1" readingOrder="1"/>
    </xf>
    <xf numFmtId="0" fontId="37" fillId="3" borderId="31" xfId="0" applyFont="1" applyFill="1" applyBorder="1" applyAlignment="1">
      <alignment horizontal="justify" vertical="center" wrapText="1" readingOrder="1"/>
    </xf>
    <xf numFmtId="9" fontId="36" fillId="3" borderId="36" xfId="0" applyNumberFormat="1"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6" fillId="3" borderId="38" xfId="0" applyFont="1" applyFill="1" applyBorder="1" applyAlignment="1">
      <alignment horizontal="center" vertical="center" wrapText="1" readingOrder="1"/>
    </xf>
    <xf numFmtId="0" fontId="37" fillId="3" borderId="38" xfId="0" applyFont="1" applyFill="1" applyBorder="1" applyAlignment="1">
      <alignment horizontal="justify" vertical="center" wrapText="1" readingOrder="1"/>
    </xf>
    <xf numFmtId="0" fontId="37" fillId="3" borderId="39" xfId="0" applyFont="1" applyFill="1" applyBorder="1" applyAlignment="1">
      <alignment horizontal="center" vertical="center" wrapText="1" readingOrder="1"/>
    </xf>
    <xf numFmtId="0" fontId="45" fillId="3" borderId="0" xfId="0" applyFont="1" applyFill="1"/>
    <xf numFmtId="0" fontId="36" fillId="15" borderId="43" xfId="0" applyFont="1" applyFill="1" applyBorder="1" applyAlignment="1">
      <alignment horizontal="center" vertical="center" wrapText="1" readingOrder="1"/>
    </xf>
    <xf numFmtId="0" fontId="36" fillId="15" borderId="4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15" xfId="2" applyFont="1" applyFill="1" applyBorder="1"/>
    <xf numFmtId="0" fontId="48" fillId="3" borderId="16" xfId="2" applyFont="1" applyFill="1" applyBorder="1"/>
    <xf numFmtId="0" fontId="48" fillId="3" borderId="18" xfId="2" applyFont="1" applyFill="1" applyBorder="1"/>
    <xf numFmtId="0" fontId="48" fillId="3" borderId="17"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6" fillId="0" borderId="2" xfId="0" applyFont="1" applyBorder="1" applyAlignment="1" applyProtection="1">
      <alignment horizontal="justify" vertical="center" wrapText="1"/>
      <protection locked="0"/>
    </xf>
    <xf numFmtId="0" fontId="19" fillId="12" borderId="13" xfId="0" applyFont="1" applyFill="1" applyBorder="1" applyAlignment="1" applyProtection="1">
      <alignment horizontal="center" wrapText="1" readingOrder="1"/>
      <protection hidden="1"/>
    </xf>
    <xf numFmtId="0" fontId="19" fillId="12" borderId="15" xfId="0" applyFont="1" applyFill="1" applyBorder="1" applyAlignment="1" applyProtection="1">
      <alignment horizontal="center" wrapText="1" readingOrder="1"/>
      <protection hidden="1"/>
    </xf>
    <xf numFmtId="0" fontId="19" fillId="12" borderId="17" xfId="0" applyFont="1" applyFill="1" applyBorder="1" applyAlignment="1" applyProtection="1">
      <alignment horizont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wrapText="1" readingOrder="1"/>
      <protection hidden="1"/>
    </xf>
    <xf numFmtId="0" fontId="19" fillId="13" borderId="15" xfId="0" applyFont="1" applyFill="1" applyBorder="1" applyAlignment="1" applyProtection="1">
      <alignment horizontal="center" wrapText="1" readingOrder="1"/>
      <protection hidden="1"/>
    </xf>
    <xf numFmtId="0" fontId="19" fillId="13" borderId="17"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13" xfId="0" applyFont="1" applyFill="1" applyBorder="1" applyAlignment="1" applyProtection="1">
      <alignment horizontal="center" wrapText="1" readingOrder="1"/>
      <protection hidden="1"/>
    </xf>
    <xf numFmtId="0" fontId="19" fillId="5" borderId="14" xfId="0" applyFont="1" applyFill="1" applyBorder="1" applyAlignment="1" applyProtection="1">
      <alignment horizontal="center" wrapText="1" readingOrder="1"/>
      <protection hidden="1"/>
    </xf>
    <xf numFmtId="0" fontId="19" fillId="5" borderId="15" xfId="0" applyFont="1" applyFill="1" applyBorder="1" applyAlignment="1" applyProtection="1">
      <alignment horizontal="center" wrapText="1" readingOrder="1"/>
      <protection hidden="1"/>
    </xf>
    <xf numFmtId="0" fontId="19" fillId="5" borderId="16" xfId="0" applyFont="1" applyFill="1" applyBorder="1" applyAlignment="1" applyProtection="1">
      <alignment horizontal="center" wrapText="1" readingOrder="1"/>
      <protection hidden="1"/>
    </xf>
    <xf numFmtId="0" fontId="19" fillId="5" borderId="17" xfId="0" applyFont="1" applyFill="1" applyBorder="1" applyAlignment="1" applyProtection="1">
      <alignment horizontal="center" wrapText="1" readingOrder="1"/>
      <protection hidden="1"/>
    </xf>
    <xf numFmtId="0" fontId="6" fillId="0" borderId="81" xfId="0" applyFont="1" applyBorder="1" applyAlignment="1">
      <alignment horizontal="justify" vertical="center" wrapText="1"/>
    </xf>
    <xf numFmtId="0" fontId="48" fillId="0" borderId="2" xfId="0" applyFont="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48" fillId="0" borderId="2" xfId="0" applyNumberFormat="1" applyFont="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14" fontId="6" fillId="0" borderId="2"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protection locked="0"/>
    </xf>
    <xf numFmtId="0" fontId="48" fillId="0" borderId="2" xfId="0" applyFont="1" applyBorder="1" applyAlignment="1" applyProtection="1">
      <alignment horizontal="center" vertical="center" wrapText="1"/>
      <protection locked="0"/>
    </xf>
    <xf numFmtId="164" fontId="6" fillId="0" borderId="2" xfId="1" applyNumberFormat="1" applyFont="1" applyFill="1" applyBorder="1" applyAlignment="1">
      <alignment horizontal="center" vertical="center"/>
    </xf>
    <xf numFmtId="0" fontId="6" fillId="0" borderId="81" xfId="0" applyFont="1" applyBorder="1" applyAlignment="1">
      <alignment horizontal="center" vertical="center"/>
    </xf>
    <xf numFmtId="164" fontId="6" fillId="3" borderId="2" xfId="1" applyNumberFormat="1" applyFont="1" applyFill="1" applyBorder="1" applyAlignment="1">
      <alignment horizontal="center" vertical="center"/>
    </xf>
    <xf numFmtId="0" fontId="6" fillId="0" borderId="6" xfId="0" applyFont="1" applyBorder="1" applyAlignment="1" applyProtection="1">
      <alignment horizontal="justify" vertical="center" wrapText="1"/>
      <protection locked="0"/>
    </xf>
    <xf numFmtId="164" fontId="48" fillId="0" borderId="2" xfId="1" applyNumberFormat="1" applyFont="1" applyBorder="1" applyAlignment="1">
      <alignment horizontal="center" vertical="center"/>
    </xf>
    <xf numFmtId="164" fontId="48" fillId="0" borderId="2" xfId="1" applyNumberFormat="1" applyFont="1" applyFill="1" applyBorder="1" applyAlignment="1">
      <alignment horizontal="center" vertical="center"/>
    </xf>
    <xf numFmtId="0" fontId="6" fillId="0" borderId="2" xfId="0" quotePrefix="1" applyFont="1" applyBorder="1" applyAlignment="1" applyProtection="1">
      <alignment horizontal="justify" vertical="center" wrapText="1"/>
      <protection locked="0"/>
    </xf>
    <xf numFmtId="0" fontId="6" fillId="0" borderId="0" xfId="0" applyFont="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textRotation="90"/>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48"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59" fillId="3" borderId="2" xfId="0" applyNumberFormat="1"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0" fontId="3" fillId="3" borderId="82" xfId="0" applyFont="1" applyFill="1" applyBorder="1" applyAlignment="1" applyProtection="1">
      <alignment horizontal="justify" vertical="center" wrapText="1"/>
      <protection locked="0"/>
    </xf>
    <xf numFmtId="0" fontId="3" fillId="3" borderId="82" xfId="0" applyFont="1" applyFill="1" applyBorder="1" applyAlignment="1" applyProtection="1">
      <alignment horizontal="center" vertical="center"/>
      <protection locked="0"/>
    </xf>
    <xf numFmtId="14" fontId="3" fillId="3" borderId="82"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48" fillId="3" borderId="82" xfId="0" applyFont="1" applyFill="1" applyBorder="1" applyAlignment="1" applyProtection="1">
      <alignment horizontal="justify" vertical="center" wrapText="1"/>
      <protection locked="0"/>
    </xf>
    <xf numFmtId="0" fontId="6" fillId="3" borderId="81" xfId="0" applyFont="1" applyFill="1" applyBorder="1" applyAlignment="1">
      <alignment horizontal="justify" vertical="center" wrapText="1"/>
    </xf>
    <xf numFmtId="0" fontId="3" fillId="3" borderId="81" xfId="0" applyFont="1" applyFill="1" applyBorder="1" applyAlignment="1">
      <alignment horizontal="center" vertical="center" wrapText="1"/>
    </xf>
    <xf numFmtId="0" fontId="3" fillId="3" borderId="81" xfId="0" applyFont="1" applyFill="1" applyBorder="1" applyAlignment="1">
      <alignment horizontal="justify" vertical="center" wrapText="1"/>
    </xf>
    <xf numFmtId="0" fontId="3" fillId="3" borderId="81" xfId="0" applyFont="1" applyFill="1" applyBorder="1" applyAlignment="1">
      <alignment horizontal="center" vertical="center"/>
    </xf>
    <xf numFmtId="0" fontId="48" fillId="3" borderId="81" xfId="0" applyFont="1" applyFill="1" applyBorder="1" applyAlignment="1">
      <alignment horizontal="left" vertical="center" wrapText="1"/>
    </xf>
    <xf numFmtId="0" fontId="48"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1" fillId="0" borderId="2" xfId="0" applyFont="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1"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0" fontId="59" fillId="0" borderId="2" xfId="0" applyFont="1" applyBorder="1" applyAlignment="1" applyProtection="1">
      <alignment horizontal="justify" vertical="center" wrapText="1"/>
      <protection locked="0"/>
    </xf>
    <xf numFmtId="0" fontId="59" fillId="0" borderId="2" xfId="0" applyFont="1" applyBorder="1" applyAlignment="1" applyProtection="1">
      <alignment horizontal="center" vertical="center"/>
      <protection locked="0"/>
    </xf>
    <xf numFmtId="14" fontId="59" fillId="0" borderId="2" xfId="0" applyNumberFormat="1" applyFont="1" applyBorder="1" applyAlignment="1" applyProtection="1">
      <alignment horizontal="center" vertical="center" wrapText="1"/>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48" fillId="0" borderId="2" xfId="0" applyFont="1" applyBorder="1" applyAlignment="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0" fontId="4" fillId="0" borderId="0" xfId="0" applyFont="1" applyAlignment="1">
      <alignment horizontal="center" vertical="center"/>
    </xf>
    <xf numFmtId="0" fontId="6" fillId="0" borderId="0" xfId="0" applyFont="1" applyAlignment="1">
      <alignment horizontal="center" vertical="center"/>
    </xf>
    <xf numFmtId="0" fontId="59" fillId="0" borderId="0" xfId="0" applyFont="1" applyAlignment="1">
      <alignment vertical="center"/>
    </xf>
    <xf numFmtId="0" fontId="3" fillId="0" borderId="81" xfId="0" applyFont="1" applyBorder="1" applyAlignment="1">
      <alignment horizontal="center" vertical="center" wrapText="1"/>
    </xf>
    <xf numFmtId="0" fontId="48" fillId="3" borderId="2" xfId="0" applyFont="1" applyFill="1" applyBorder="1" applyAlignment="1" applyProtection="1">
      <alignment horizontal="center" vertical="center"/>
      <protection hidden="1"/>
    </xf>
    <xf numFmtId="0" fontId="48" fillId="3" borderId="2" xfId="0" applyFont="1" applyFill="1" applyBorder="1" applyAlignment="1" applyProtection="1">
      <alignment horizontal="center" vertical="center" textRotation="90"/>
      <protection locked="0"/>
    </xf>
    <xf numFmtId="9" fontId="48" fillId="3" borderId="2" xfId="0" applyNumberFormat="1" applyFont="1" applyFill="1" applyBorder="1" applyAlignment="1" applyProtection="1">
      <alignment horizontal="center" vertical="center"/>
      <protection hidden="1"/>
    </xf>
    <xf numFmtId="164" fontId="48" fillId="3" borderId="2" xfId="1" applyNumberFormat="1" applyFont="1" applyFill="1" applyBorder="1" applyAlignment="1">
      <alignment horizontal="center" vertical="center"/>
    </xf>
    <xf numFmtId="0" fontId="52" fillId="3" borderId="2" xfId="0" applyFont="1" applyFill="1" applyBorder="1" applyAlignment="1" applyProtection="1">
      <alignment horizontal="center" vertical="center" textRotation="90" wrapText="1"/>
      <protection hidden="1"/>
    </xf>
    <xf numFmtId="9" fontId="48" fillId="3" borderId="4" xfId="0" applyNumberFormat="1" applyFont="1" applyFill="1" applyBorder="1" applyAlignment="1" applyProtection="1">
      <alignment horizontal="center" vertical="center"/>
      <protection hidden="1"/>
    </xf>
    <xf numFmtId="0" fontId="52" fillId="3" borderId="2" xfId="0" applyFont="1" applyFill="1" applyBorder="1" applyAlignment="1" applyProtection="1">
      <alignment horizontal="center" vertical="center" textRotation="90"/>
      <protection hidden="1"/>
    </xf>
    <xf numFmtId="0" fontId="48" fillId="3" borderId="4" xfId="0" applyFont="1" applyFill="1" applyBorder="1" applyAlignment="1" applyProtection="1">
      <alignment horizontal="center" vertical="center" textRotation="90"/>
      <protection locked="0"/>
    </xf>
    <xf numFmtId="0" fontId="48" fillId="0" borderId="0" xfId="0" applyFont="1" applyAlignment="1">
      <alignment vertical="center"/>
    </xf>
    <xf numFmtId="0" fontId="6" fillId="13" borderId="2" xfId="0" applyFont="1" applyFill="1" applyBorder="1" applyAlignment="1" applyProtection="1">
      <alignment horizontal="center" vertical="center"/>
      <protection hidden="1"/>
    </xf>
    <xf numFmtId="0" fontId="6" fillId="3" borderId="0" xfId="0" applyFont="1" applyFill="1" applyAlignment="1">
      <alignment horizontal="center" vertical="center"/>
    </xf>
    <xf numFmtId="0" fontId="4" fillId="2" borderId="2" xfId="0" applyFont="1" applyFill="1" applyBorder="1" applyAlignment="1">
      <alignment horizontal="center" vertical="center" wrapText="1"/>
    </xf>
    <xf numFmtId="0" fontId="2" fillId="0" borderId="2" xfId="0" applyFont="1" applyBorder="1" applyAlignment="1" applyProtection="1">
      <alignment horizontal="left" vertical="center" wrapText="1"/>
      <protection locked="0"/>
    </xf>
    <xf numFmtId="0" fontId="2" fillId="0" borderId="2" xfId="0" quotePrefix="1" applyFont="1" applyBorder="1" applyAlignment="1" applyProtection="1">
      <alignment horizontal="left" vertical="center" wrapText="1"/>
      <protection locked="0"/>
    </xf>
    <xf numFmtId="9" fontId="6" fillId="0" borderId="0" xfId="0" applyNumberFormat="1" applyFont="1" applyAlignment="1">
      <alignment horizontal="center" vertical="center"/>
    </xf>
    <xf numFmtId="0" fontId="1" fillId="0" borderId="2" xfId="0" applyFont="1" applyBorder="1" applyAlignment="1" applyProtection="1">
      <alignment horizontal="left" vertical="center" wrapText="1"/>
      <protection locked="0"/>
    </xf>
    <xf numFmtId="0" fontId="1" fillId="0" borderId="2" xfId="0" quotePrefix="1" applyFont="1" applyBorder="1" applyAlignment="1" applyProtection="1">
      <alignment horizontal="left" vertical="center" wrapText="1"/>
      <protection locked="0"/>
    </xf>
    <xf numFmtId="9" fontId="6" fillId="0" borderId="2" xfId="0" applyNumberFormat="1" applyFont="1" applyBorder="1" applyAlignment="1" applyProtection="1">
      <alignment horizontal="center" vertical="center" wrapText="1"/>
      <protection locked="0"/>
    </xf>
    <xf numFmtId="0" fontId="48" fillId="0" borderId="2" xfId="0" applyFont="1" applyBorder="1" applyAlignment="1">
      <alignment vertical="center" wrapText="1"/>
    </xf>
    <xf numFmtId="0" fontId="48" fillId="0" borderId="2" xfId="0" quotePrefix="1" applyFont="1" applyBorder="1" applyAlignment="1">
      <alignment vertical="center" wrapText="1"/>
    </xf>
    <xf numFmtId="0" fontId="1" fillId="0" borderId="2" xfId="0" applyFont="1" applyBorder="1" applyAlignment="1" applyProtection="1">
      <alignment horizontal="justify" vertical="center" wrapText="1"/>
      <protection locked="0"/>
    </xf>
    <xf numFmtId="0" fontId="62" fillId="0" borderId="2" xfId="5" applyBorder="1" applyAlignment="1" applyProtection="1">
      <alignment horizontal="left" vertical="center" wrapText="1"/>
      <protection locked="0"/>
    </xf>
    <xf numFmtId="0" fontId="62" fillId="0" borderId="2" xfId="5" applyFill="1" applyBorder="1" applyAlignment="1" applyProtection="1">
      <alignment horizontal="justify" vertical="center" wrapText="1"/>
      <protection locked="0"/>
    </xf>
    <xf numFmtId="0" fontId="2" fillId="0" borderId="2" xfId="0" applyFont="1" applyBorder="1" applyAlignment="1" applyProtection="1">
      <alignment horizontal="justify" vertical="center" wrapText="1"/>
      <protection locked="0"/>
    </xf>
    <xf numFmtId="0" fontId="63" fillId="0" borderId="2" xfId="0" applyFont="1" applyBorder="1" applyAlignment="1" applyProtection="1">
      <alignment horizontal="left" vertical="center" wrapText="1"/>
      <protection locked="0"/>
    </xf>
    <xf numFmtId="0" fontId="1" fillId="0" borderId="0" xfId="0" applyFont="1" applyAlignment="1">
      <alignment horizontal="justify" vertical="center" wrapText="1"/>
    </xf>
    <xf numFmtId="0" fontId="6" fillId="0" borderId="0" xfId="0" applyFont="1" applyAlignment="1">
      <alignment vertical="center" wrapText="1"/>
    </xf>
    <xf numFmtId="0" fontId="6" fillId="0" borderId="0" xfId="0" applyFont="1" applyAlignment="1">
      <alignment horizontal="justify" vertical="center" wrapText="1"/>
    </xf>
    <xf numFmtId="0" fontId="1" fillId="0" borderId="2" xfId="0" applyFont="1" applyBorder="1" applyAlignment="1" applyProtection="1">
      <alignment horizontal="center" vertical="center" wrapText="1"/>
      <protection locked="0"/>
    </xf>
    <xf numFmtId="0" fontId="1" fillId="0" borderId="31" xfId="0" applyFont="1" applyBorder="1" applyAlignment="1">
      <alignment vertical="center" wrapText="1"/>
    </xf>
    <xf numFmtId="9" fontId="1" fillId="0" borderId="2" xfId="1" applyFont="1" applyFill="1" applyBorder="1" applyAlignment="1" applyProtection="1">
      <alignment horizontal="center" vertical="center" wrapText="1"/>
      <protection locked="0"/>
    </xf>
    <xf numFmtId="0" fontId="57" fillId="0" borderId="2" xfId="0" applyFont="1" applyBorder="1" applyAlignment="1" applyProtection="1">
      <alignment horizontal="center" vertical="center" wrapText="1"/>
      <protection locked="0"/>
    </xf>
    <xf numFmtId="9" fontId="1" fillId="0" borderId="0" xfId="0" applyNumberFormat="1" applyFont="1" applyAlignment="1">
      <alignment horizontal="center" vertical="center"/>
    </xf>
    <xf numFmtId="0" fontId="67" fillId="0" borderId="0" xfId="0" applyFont="1" applyAlignment="1">
      <alignment horizontal="justify" vertical="center"/>
    </xf>
    <xf numFmtId="0" fontId="6" fillId="0" borderId="2" xfId="0" applyFont="1" applyFill="1" applyBorder="1" applyAlignment="1" applyProtection="1">
      <alignment horizontal="center" vertical="center" wrapText="1"/>
      <protection locked="0"/>
    </xf>
    <xf numFmtId="14" fontId="6" fillId="0" borderId="2" xfId="0" applyNumberFormat="1" applyFont="1" applyFill="1" applyBorder="1" applyAlignment="1" applyProtection="1">
      <alignment horizontal="center" vertical="center" wrapText="1"/>
      <protection locked="0"/>
    </xf>
    <xf numFmtId="0" fontId="6" fillId="0" borderId="2" xfId="0" applyFont="1" applyFill="1" applyBorder="1" applyAlignment="1" applyProtection="1">
      <alignment horizontal="justify" vertical="center" wrapText="1"/>
      <protection locked="0"/>
    </xf>
    <xf numFmtId="0" fontId="6" fillId="0" borderId="0" xfId="0" applyFont="1" applyFill="1" applyAlignment="1">
      <alignment vertical="center" wrapText="1"/>
    </xf>
    <xf numFmtId="9" fontId="6" fillId="0" borderId="2" xfId="0" applyNumberFormat="1" applyFont="1" applyFill="1" applyBorder="1" applyAlignment="1" applyProtection="1">
      <alignment horizontal="center" vertical="center" wrapText="1"/>
      <protection locked="0"/>
    </xf>
    <xf numFmtId="0" fontId="6" fillId="0" borderId="0" xfId="0" applyFont="1" applyFill="1" applyAlignment="1">
      <alignment vertical="center"/>
    </xf>
    <xf numFmtId="0" fontId="57" fillId="0" borderId="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justify" vertical="center" wrapText="1"/>
      <protection locked="0"/>
    </xf>
    <xf numFmtId="0" fontId="6" fillId="0" borderId="2" xfId="0" applyFont="1" applyFill="1" applyBorder="1" applyAlignment="1">
      <alignment horizontal="center" vertical="center"/>
    </xf>
    <xf numFmtId="0" fontId="6" fillId="0" borderId="81" xfId="0" applyFont="1" applyFill="1" applyBorder="1" applyAlignment="1">
      <alignment horizontal="justify" vertical="center" wrapText="1"/>
    </xf>
    <xf numFmtId="0" fontId="6" fillId="0" borderId="2" xfId="0"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textRotation="90"/>
      <protection locked="0"/>
    </xf>
    <xf numFmtId="9" fontId="6" fillId="0" borderId="2" xfId="0" applyNumberFormat="1" applyFont="1" applyFill="1" applyBorder="1" applyAlignment="1" applyProtection="1">
      <alignment horizontal="center" vertical="center"/>
      <protection hidden="1"/>
    </xf>
    <xf numFmtId="0" fontId="57" fillId="0" borderId="2" xfId="0" applyFont="1" applyFill="1" applyBorder="1" applyAlignment="1" applyProtection="1">
      <alignment horizontal="center" vertical="center" textRotation="90" wrapText="1"/>
      <protection hidden="1"/>
    </xf>
    <xf numFmtId="9" fontId="6" fillId="0" borderId="4" xfId="0" applyNumberFormat="1" applyFont="1" applyFill="1" applyBorder="1" applyAlignment="1" applyProtection="1">
      <alignment horizontal="center" vertical="center"/>
      <protection hidden="1"/>
    </xf>
    <xf numFmtId="0" fontId="57" fillId="0" borderId="2" xfId="0" applyFont="1" applyFill="1" applyBorder="1" applyAlignment="1" applyProtection="1">
      <alignment horizontal="center" vertical="center" textRotation="90"/>
      <protection hidden="1"/>
    </xf>
    <xf numFmtId="0" fontId="6" fillId="0" borderId="4" xfId="0" applyFont="1" applyFill="1" applyBorder="1" applyAlignment="1" applyProtection="1">
      <alignment horizontal="center" vertical="center" textRotation="90"/>
      <protection locked="0"/>
    </xf>
    <xf numFmtId="0" fontId="6" fillId="0" borderId="81" xfId="0" applyFont="1" applyFill="1" applyBorder="1" applyAlignment="1">
      <alignment horizontal="center" vertical="center"/>
    </xf>
    <xf numFmtId="14" fontId="48" fillId="0" borderId="2" xfId="0" applyNumberFormat="1" applyFont="1" applyFill="1" applyBorder="1" applyAlignment="1" applyProtection="1">
      <alignment horizontal="center" vertical="center" wrapText="1"/>
      <protection locked="0"/>
    </xf>
    <xf numFmtId="0" fontId="6" fillId="0" borderId="2" xfId="0" quotePrefix="1"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left" vertical="center" wrapText="1"/>
      <protection locked="0"/>
    </xf>
    <xf numFmtId="0" fontId="54" fillId="3" borderId="62" xfId="2" applyFont="1" applyFill="1" applyBorder="1" applyAlignment="1">
      <alignment horizontal="justify" vertical="center" wrapText="1"/>
    </xf>
    <xf numFmtId="0" fontId="54" fillId="3" borderId="63" xfId="2" applyFont="1" applyFill="1" applyBorder="1" applyAlignment="1">
      <alignment horizontal="justify" vertical="center" wrapText="1"/>
    </xf>
    <xf numFmtId="0" fontId="53" fillId="3" borderId="69" xfId="0" applyFont="1" applyFill="1" applyBorder="1" applyAlignment="1">
      <alignment horizontal="left" vertical="center" wrapText="1"/>
    </xf>
    <xf numFmtId="0" fontId="53" fillId="3" borderId="70" xfId="0" applyFont="1" applyFill="1" applyBorder="1" applyAlignment="1">
      <alignment horizontal="left" vertical="center" wrapText="1"/>
    </xf>
    <xf numFmtId="0" fontId="53" fillId="3" borderId="56" xfId="3" applyFont="1" applyFill="1" applyBorder="1" applyAlignment="1">
      <alignment horizontal="left" vertical="top" wrapText="1" readingOrder="1"/>
    </xf>
    <xf numFmtId="0" fontId="53" fillId="3" borderId="57" xfId="3" applyFont="1" applyFill="1" applyBorder="1" applyAlignment="1">
      <alignment horizontal="left" vertical="top" wrapText="1" readingOrder="1"/>
    </xf>
    <xf numFmtId="0" fontId="54" fillId="3" borderId="58" xfId="2" applyFont="1" applyFill="1" applyBorder="1" applyAlignment="1">
      <alignment horizontal="justify" vertical="center" wrapText="1"/>
    </xf>
    <xf numFmtId="0" fontId="54" fillId="3" borderId="59" xfId="2" applyFont="1" applyFill="1" applyBorder="1" applyAlignment="1">
      <alignment horizontal="justify" vertical="center" wrapText="1"/>
    </xf>
    <xf numFmtId="0" fontId="53" fillId="3" borderId="60" xfId="0" applyFont="1" applyFill="1" applyBorder="1" applyAlignment="1">
      <alignment horizontal="left" vertical="center" wrapText="1"/>
    </xf>
    <xf numFmtId="0" fontId="53" fillId="3" borderId="61" xfId="0" applyFont="1" applyFill="1" applyBorder="1" applyAlignment="1">
      <alignment horizontal="left" vertical="center" wrapText="1"/>
    </xf>
    <xf numFmtId="0" fontId="48" fillId="3" borderId="14"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15" xfId="2" applyFont="1" applyFill="1" applyBorder="1" applyAlignment="1">
      <alignment horizontal="left" vertical="top"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4" fillId="3" borderId="64" xfId="0" applyFont="1" applyFill="1" applyBorder="1" applyAlignment="1">
      <alignment horizontal="justify" vertical="center" wrapText="1"/>
    </xf>
    <xf numFmtId="0" fontId="54" fillId="3" borderId="65" xfId="0" applyFont="1" applyFill="1" applyBorder="1" applyAlignment="1">
      <alignment horizontal="justify" vertical="center" wrapText="1"/>
    </xf>
    <xf numFmtId="0" fontId="49" fillId="14" borderId="46" xfId="2" applyFont="1" applyFill="1" applyBorder="1" applyAlignment="1">
      <alignment horizontal="center" vertical="center" wrapText="1"/>
    </xf>
    <xf numFmtId="0" fontId="49" fillId="14" borderId="47" xfId="2" applyFont="1" applyFill="1" applyBorder="1" applyAlignment="1">
      <alignment horizontal="center" vertical="center" wrapText="1"/>
    </xf>
    <xf numFmtId="0" fontId="49" fillId="14" borderId="48" xfId="2" applyFont="1" applyFill="1" applyBorder="1" applyAlignment="1">
      <alignment horizontal="center" vertical="center" wrapText="1"/>
    </xf>
    <xf numFmtId="0" fontId="48" fillId="0" borderId="14"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15" xfId="2" quotePrefix="1" applyFont="1" applyBorder="1" applyAlignment="1">
      <alignment horizontal="left" vertical="center" wrapText="1"/>
    </xf>
    <xf numFmtId="0" fontId="48" fillId="0" borderId="66" xfId="2" quotePrefix="1" applyFont="1" applyBorder="1" applyAlignment="1">
      <alignment horizontal="left" vertical="center" wrapText="1"/>
    </xf>
    <xf numFmtId="0" fontId="48" fillId="0" borderId="67" xfId="2" quotePrefix="1" applyFont="1" applyBorder="1" applyAlignment="1">
      <alignment horizontal="left" vertical="center" wrapText="1"/>
    </xf>
    <xf numFmtId="0" fontId="48" fillId="0" borderId="68" xfId="2" quotePrefix="1" applyFont="1" applyBorder="1" applyAlignment="1">
      <alignment horizontal="left" vertical="center" wrapText="1"/>
    </xf>
    <xf numFmtId="0" fontId="50" fillId="3" borderId="49" xfId="2" quotePrefix="1" applyFont="1" applyFill="1" applyBorder="1" applyAlignment="1">
      <alignment horizontal="left" vertical="top" wrapText="1"/>
    </xf>
    <xf numFmtId="0" fontId="51" fillId="3" borderId="50" xfId="2" quotePrefix="1" applyFont="1" applyFill="1" applyBorder="1" applyAlignment="1">
      <alignment horizontal="left" vertical="top" wrapText="1"/>
    </xf>
    <xf numFmtId="0" fontId="51" fillId="3" borderId="51" xfId="2" quotePrefix="1" applyFont="1" applyFill="1" applyBorder="1" applyAlignment="1">
      <alignment horizontal="left" vertical="top" wrapText="1"/>
    </xf>
    <xf numFmtId="0" fontId="48" fillId="0" borderId="14"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15" xfId="2" quotePrefix="1" applyFont="1" applyBorder="1" applyAlignment="1">
      <alignment horizontal="left" vertical="top" wrapText="1"/>
    </xf>
    <xf numFmtId="0" fontId="53" fillId="14" borderId="52" xfId="3" applyFont="1" applyFill="1" applyBorder="1" applyAlignment="1">
      <alignment horizontal="center" vertical="center" wrapText="1"/>
    </xf>
    <xf numFmtId="0" fontId="53" fillId="14" borderId="53" xfId="3" applyFont="1" applyFill="1" applyBorder="1" applyAlignment="1">
      <alignment horizontal="center" vertical="center" wrapText="1"/>
    </xf>
    <xf numFmtId="0" fontId="53" fillId="14" borderId="54" xfId="2" applyFont="1" applyFill="1" applyBorder="1" applyAlignment="1">
      <alignment horizontal="center" vertical="center"/>
    </xf>
    <xf numFmtId="0" fontId="53" fillId="14" borderId="55" xfId="2" applyFont="1" applyFill="1" applyBorder="1" applyAlignment="1">
      <alignment horizontal="center" vertical="center"/>
    </xf>
    <xf numFmtId="0" fontId="2" fillId="3" borderId="66" xfId="2" quotePrefix="1" applyFont="1" applyFill="1" applyBorder="1" applyAlignment="1">
      <alignment horizontal="justify" vertical="center" wrapText="1"/>
    </xf>
    <xf numFmtId="0" fontId="2" fillId="3" borderId="67" xfId="2" quotePrefix="1" applyFont="1" applyFill="1" applyBorder="1" applyAlignment="1">
      <alignment horizontal="justify" vertical="center" wrapText="1"/>
    </xf>
    <xf numFmtId="0" fontId="2" fillId="3" borderId="68" xfId="2" quotePrefix="1" applyFont="1" applyFill="1" applyBorder="1" applyAlignment="1">
      <alignment horizontal="justify" vertical="center" wrapText="1"/>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2" fillId="0" borderId="14" xfId="0" applyFont="1" applyBorder="1" applyAlignment="1">
      <alignment horizontal="center" vertical="center" wrapText="1"/>
    </xf>
    <xf numFmtId="0" fontId="42" fillId="0" borderId="0" xfId="0" applyFont="1" applyAlignment="1">
      <alignment horizontal="center" vertical="center"/>
    </xf>
    <xf numFmtId="0" fontId="42" fillId="0" borderId="14"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24" xfId="0" applyFont="1" applyFill="1" applyBorder="1" applyAlignment="1">
      <alignment horizontal="center" vertical="center" wrapText="1" readingOrder="1"/>
    </xf>
    <xf numFmtId="0" fontId="42" fillId="0" borderId="75" xfId="0" applyFont="1" applyBorder="1" applyAlignment="1">
      <alignment horizontal="center" vertical="center" wrapText="1"/>
    </xf>
    <xf numFmtId="0" fontId="42" fillId="0" borderId="75" xfId="0" applyFont="1" applyBorder="1" applyAlignment="1">
      <alignment horizontal="center" vertical="center"/>
    </xf>
    <xf numFmtId="0" fontId="42" fillId="0" borderId="77" xfId="0" applyFont="1" applyBorder="1" applyAlignment="1">
      <alignment horizontal="center" vertical="center"/>
    </xf>
    <xf numFmtId="0" fontId="42" fillId="0" borderId="78" xfId="0" applyFont="1" applyBorder="1" applyAlignment="1">
      <alignment horizontal="center" vertical="center"/>
    </xf>
    <xf numFmtId="0" fontId="42" fillId="0" borderId="79" xfId="0" applyFont="1" applyBorder="1" applyAlignment="1">
      <alignment horizontal="center" vertical="center"/>
    </xf>
    <xf numFmtId="0" fontId="42" fillId="0" borderId="0" xfId="0" applyFont="1" applyAlignment="1">
      <alignment horizontal="center" vertical="center" wrapText="1"/>
    </xf>
    <xf numFmtId="0" fontId="42" fillId="0" borderId="76" xfId="0" applyFont="1" applyBorder="1" applyAlignment="1">
      <alignment horizontal="center" vertical="center"/>
    </xf>
    <xf numFmtId="0" fontId="42" fillId="0" borderId="80" xfId="0" applyFont="1" applyBorder="1" applyAlignment="1">
      <alignment horizontal="center" vertical="center"/>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6" fillId="3" borderId="4"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4" fillId="2" borderId="3"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2" fillId="3" borderId="4"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9" fontId="6" fillId="3" borderId="5" xfId="0" applyNumberFormat="1" applyFont="1" applyFill="1" applyBorder="1" applyAlignment="1" applyProtection="1">
      <alignment horizontal="center" vertical="center" wrapText="1"/>
      <protection locked="0"/>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3" borderId="4" xfId="0" quotePrefix="1" applyFont="1" applyFill="1" applyBorder="1" applyAlignment="1" applyProtection="1">
      <alignment horizontal="center" vertical="center" wrapText="1"/>
      <protection locked="0"/>
    </xf>
    <xf numFmtId="0" fontId="6" fillId="3" borderId="4" xfId="0" applyFont="1" applyFill="1" applyBorder="1" applyAlignment="1">
      <alignment horizontal="justify" vertical="center"/>
    </xf>
    <xf numFmtId="0" fontId="6" fillId="3" borderId="8" xfId="0" applyFont="1" applyFill="1" applyBorder="1" applyAlignment="1">
      <alignment horizontal="justify" vertical="center"/>
    </xf>
    <xf numFmtId="0" fontId="48" fillId="3" borderId="4" xfId="0" quotePrefix="1" applyFont="1" applyFill="1" applyBorder="1" applyAlignment="1" applyProtection="1">
      <alignment horizontal="center" vertical="center" wrapText="1"/>
      <protection locked="0"/>
    </xf>
    <xf numFmtId="0" fontId="6" fillId="3" borderId="8" xfId="0" quotePrefix="1" applyFont="1" applyFill="1" applyBorder="1" applyAlignment="1" applyProtection="1">
      <alignment horizontal="center" vertical="center" wrapText="1"/>
      <protection locked="0"/>
    </xf>
    <xf numFmtId="9" fontId="48" fillId="3" borderId="4" xfId="0" applyNumberFormat="1" applyFont="1" applyFill="1" applyBorder="1" applyAlignment="1" applyProtection="1">
      <alignment horizontal="center" vertical="center" wrapText="1"/>
      <protection locked="0"/>
    </xf>
    <xf numFmtId="9" fontId="48" fillId="3" borderId="8"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5" xfId="0" applyFont="1" applyFill="1" applyBorder="1" applyAlignment="1" applyProtection="1">
      <alignment horizontal="center" vertical="center"/>
      <protection locked="0"/>
    </xf>
    <xf numFmtId="0" fontId="57" fillId="0" borderId="4" xfId="0" applyFont="1" applyBorder="1" applyAlignment="1" applyProtection="1">
      <alignment horizontal="center" vertical="center" wrapText="1"/>
      <protection hidden="1"/>
    </xf>
    <xf numFmtId="0" fontId="57" fillId="0" borderId="8" xfId="0" applyFont="1" applyBorder="1" applyAlignment="1" applyProtection="1">
      <alignment horizontal="center" vertical="center" wrapText="1"/>
      <protection hidden="1"/>
    </xf>
    <xf numFmtId="0" fontId="57" fillId="0" borderId="5" xfId="0" applyFont="1" applyBorder="1" applyAlignment="1" applyProtection="1">
      <alignment horizontal="center" vertical="center" wrapText="1"/>
      <protection hidden="1"/>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6" fillId="0" borderId="4" xfId="0" applyFont="1" applyBorder="1" applyAlignment="1">
      <alignment horizontal="justify" vertical="center" wrapText="1"/>
    </xf>
    <xf numFmtId="0" fontId="6" fillId="0" borderId="8"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8" xfId="0" applyFont="1" applyBorder="1" applyAlignment="1">
      <alignment horizontal="justify"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48" fillId="3" borderId="4"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48" fillId="3" borderId="5" xfId="0" applyFont="1" applyFill="1" applyBorder="1" applyAlignment="1">
      <alignment horizontal="center" vertical="center" wrapText="1"/>
    </xf>
    <xf numFmtId="9" fontId="6" fillId="0" borderId="5" xfId="0" applyNumberFormat="1" applyFont="1" applyBorder="1" applyAlignment="1" applyProtection="1">
      <alignment horizontal="center" vertical="center" wrapText="1"/>
      <protection locked="0"/>
    </xf>
    <xf numFmtId="0" fontId="48" fillId="0" borderId="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4" xfId="0" applyFont="1" applyBorder="1" applyAlignment="1">
      <alignment horizontal="justify" vertical="center" wrapText="1"/>
    </xf>
    <xf numFmtId="0" fontId="48" fillId="0" borderId="8" xfId="0" applyFont="1" applyBorder="1" applyAlignment="1">
      <alignment horizontal="justify" vertical="center"/>
    </xf>
    <xf numFmtId="0" fontId="48" fillId="0" borderId="4" xfId="0" quotePrefix="1" applyFont="1" applyBorder="1" applyAlignment="1" applyProtection="1">
      <alignment horizontal="center" vertical="center" wrapText="1"/>
      <protection locked="0"/>
    </xf>
    <xf numFmtId="0" fontId="48" fillId="0" borderId="4"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52" fillId="0" borderId="4" xfId="0" applyFont="1" applyBorder="1" applyAlignment="1" applyProtection="1">
      <alignment horizontal="center" vertical="center" wrapText="1"/>
      <protection hidden="1"/>
    </xf>
    <xf numFmtId="0" fontId="52" fillId="0" borderId="8" xfId="0" applyFont="1" applyBorder="1" applyAlignment="1" applyProtection="1">
      <alignment horizontal="center" vertical="center" wrapText="1"/>
      <protection hidden="1"/>
    </xf>
    <xf numFmtId="0" fontId="52" fillId="0" borderId="5" xfId="0"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9" fontId="48" fillId="0" borderId="8"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6" fillId="0" borderId="4" xfId="0" quotePrefix="1"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48" fillId="0" borderId="8" xfId="0" applyFont="1" applyBorder="1" applyAlignment="1">
      <alignment horizontal="center" vertical="center"/>
    </xf>
    <xf numFmtId="0" fontId="6" fillId="0" borderId="5"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2" xfId="0" applyFont="1" applyFill="1" applyBorder="1" applyAlignment="1">
      <alignment horizontal="center" vertical="center" textRotation="90" wrapText="1"/>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9" xfId="0" applyFont="1" applyFill="1" applyBorder="1" applyAlignment="1">
      <alignment horizontal="center" vertical="center" wrapText="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7" fillId="0" borderId="13" xfId="0" applyFont="1" applyBorder="1" applyAlignment="1">
      <alignment horizontal="center" vertical="center"/>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17" fillId="0" borderId="14" xfId="0" applyFont="1" applyBorder="1" applyAlignment="1">
      <alignment horizontal="center" vertical="center" wrapText="1"/>
    </xf>
    <xf numFmtId="0" fontId="20" fillId="11" borderId="74" xfId="0" applyFont="1" applyFill="1" applyBorder="1" applyAlignment="1" applyProtection="1">
      <alignment horizontal="center" vertical="center" wrapText="1" readingOrder="1"/>
      <protection hidden="1"/>
    </xf>
    <xf numFmtId="0" fontId="17" fillId="0" borderId="0" xfId="0" applyFont="1" applyAlignment="1">
      <alignment horizontal="center" vertical="center" wrapText="1"/>
    </xf>
    <xf numFmtId="0" fontId="20" fillId="11" borderId="75"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4" fillId="0" borderId="0" xfId="0" applyFont="1" applyAlignment="1">
      <alignment horizontal="center" vertical="center" wrapText="1"/>
    </xf>
    <xf numFmtId="0" fontId="20" fillId="11" borderId="73" xfId="0" applyFont="1" applyFill="1" applyBorder="1" applyAlignment="1" applyProtection="1">
      <alignment horizontal="center" vertic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3" xfId="0" applyFont="1" applyFill="1" applyBorder="1" applyAlignment="1">
      <alignment horizontal="center" vertical="center" wrapText="1" readingOrder="1"/>
    </xf>
    <xf numFmtId="0" fontId="39" fillId="15" borderId="34" xfId="0" applyFont="1" applyFill="1" applyBorder="1" applyAlignment="1">
      <alignment horizontal="center" vertical="center" wrapText="1" readingOrder="1"/>
    </xf>
    <xf numFmtId="0" fontId="39" fillId="15" borderId="4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42" xfId="0" applyFont="1" applyFill="1" applyBorder="1" applyAlignment="1">
      <alignment horizontal="center" vertical="center" wrapText="1" readingOrder="1"/>
    </xf>
    <xf numFmtId="0" fontId="36" fillId="15" borderId="43"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6" fillId="3" borderId="35" xfId="0" applyFont="1" applyFill="1" applyBorder="1" applyAlignment="1">
      <alignment horizontal="center" vertical="center" wrapText="1" readingOrder="1"/>
    </xf>
    <xf numFmtId="0" fontId="36" fillId="3" borderId="32" xfId="0" applyFont="1" applyFill="1" applyBorder="1" applyAlignment="1">
      <alignment horizontal="center" vertical="center" wrapText="1" readingOrder="1"/>
    </xf>
    <xf numFmtId="0" fontId="36" fillId="3" borderId="31"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8" xfId="0" applyFont="1" applyFill="1" applyBorder="1" applyAlignment="1">
      <alignment horizontal="center" vertical="center" wrapText="1" readingOrder="1"/>
    </xf>
  </cellXfs>
  <cellStyles count="6">
    <cellStyle name="Hipervínculo" xfId="5" builtinId="8"/>
    <cellStyle name="Normal" xfId="0" builtinId="0"/>
    <cellStyle name="Normal - Style1 2" xfId="2"/>
    <cellStyle name="Normal 2" xfId="4"/>
    <cellStyle name="Normal 2 2" xfId="3"/>
    <cellStyle name="Porcentaje" xfId="1" builtinId="5"/>
  </cellStyles>
  <dxfs count="2597">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1" defaultTableStyle="TableStyleMedium2" defaultPivotStyle="PivotStyleLight16">
    <tableStyle name="Invisible" pivot="0" table="0" count="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203\Owncloud\Users\jguzm\Downloads\Mapa_riesgos_ERU_2022_Atenci&#243;n%20al%20Ciudadano%2029.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triz Calor Residual"/>
      <sheetName val="Mapa final"/>
      <sheetName val="Matriz Calor Inherente"/>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directiva y accionistas y/o de proveedores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file:///\\192.168.10.203\Institucional\OGS\0%20OFICINA%20DE%20GESTION%20SOCIAL%202022\ATENCION%20AL%20CIUDADANO\SOPORTES%20CUALIFICACI&#211;N" TargetMode="External"/><Relationship Id="rId2" Type="http://schemas.openxmlformats.org/officeDocument/2006/relationships/hyperlink" Target="file:///\\192.168.10.203\Institucional\OGS\0%20OFICINA%20DE%20GESTION%20SOCIAL%202022\ATENCION%20AL%20CIUDADANO\SOPORTES%20CUALIFICACI&#211;N" TargetMode="External"/><Relationship Id="rId1" Type="http://schemas.openxmlformats.org/officeDocument/2006/relationships/hyperlink" Target="file:///\\192.168.10.203\ogs\0%20OFICINA%20DE%20GESTION%20SOCIAL%202022\MAPA%20DE%20RIESGO%20OGS\NOVIEMBRE" TargetMode="External"/><Relationship Id="rId6" Type="http://schemas.openxmlformats.org/officeDocument/2006/relationships/printerSettings" Target="../printerSettings/printerSettings3.bin"/><Relationship Id="rId5" Type="http://schemas.openxmlformats.org/officeDocument/2006/relationships/hyperlink" Target="file:///\\192.168.10.203\Institucional\OGS\0%20OFICINA%20DE%20GESTION%20SOCIAL%202022\ATENCION%20AL%20CIUDADANO\CAPACITACIONES%20FUNCIONALES" TargetMode="External"/><Relationship Id="rId4" Type="http://schemas.openxmlformats.org/officeDocument/2006/relationships/hyperlink" Target="file:///\\192.168.10.203\Institucional\OGS\0%20OFICINA%20DE%20GESTION%20SOCIAL%202022\ATENCION%20AL%20CIUDADANO\Seguimiento%20a%20la%20calidad%20de%20las%20respuesta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B37" zoomScale="110" zoomScaleNormal="110" workbookViewId="0">
      <selection activeCell="B43" sqref="B43:H43"/>
    </sheetView>
  </sheetViews>
  <sheetFormatPr baseColWidth="10" defaultColWidth="11.42578125" defaultRowHeight="15" x14ac:dyDescent="0.25"/>
  <cols>
    <col min="1" max="1" width="2.85546875" style="55" customWidth="1"/>
    <col min="2" max="3" width="24.7109375" style="55" customWidth="1"/>
    <col min="4" max="4" width="16" style="55" customWidth="1"/>
    <col min="5" max="5" width="24.7109375" style="55" customWidth="1"/>
    <col min="6" max="6" width="27.7109375" style="55" customWidth="1"/>
    <col min="7" max="8" width="24.7109375" style="55" customWidth="1"/>
    <col min="9" max="16384" width="11.42578125" style="55"/>
  </cols>
  <sheetData>
    <row r="1" spans="2:8" ht="15.75" thickBot="1" x14ac:dyDescent="0.3"/>
    <row r="2" spans="2:8" ht="18" x14ac:dyDescent="0.25">
      <c r="B2" s="274" t="s">
        <v>140</v>
      </c>
      <c r="C2" s="275"/>
      <c r="D2" s="275"/>
      <c r="E2" s="275"/>
      <c r="F2" s="275"/>
      <c r="G2" s="275"/>
      <c r="H2" s="276"/>
    </row>
    <row r="3" spans="2:8" x14ac:dyDescent="0.25">
      <c r="B3" s="56"/>
      <c r="C3" s="57"/>
      <c r="D3" s="57"/>
      <c r="E3" s="57"/>
      <c r="F3" s="57"/>
      <c r="G3" s="57"/>
      <c r="H3" s="58"/>
    </row>
    <row r="4" spans="2:8" ht="63" customHeight="1" x14ac:dyDescent="0.25">
      <c r="B4" s="277" t="s">
        <v>183</v>
      </c>
      <c r="C4" s="278"/>
      <c r="D4" s="278"/>
      <c r="E4" s="278"/>
      <c r="F4" s="278"/>
      <c r="G4" s="278"/>
      <c r="H4" s="279"/>
    </row>
    <row r="5" spans="2:8" ht="63" customHeight="1" x14ac:dyDescent="0.25">
      <c r="B5" s="280"/>
      <c r="C5" s="281"/>
      <c r="D5" s="281"/>
      <c r="E5" s="281"/>
      <c r="F5" s="281"/>
      <c r="G5" s="281"/>
      <c r="H5" s="282"/>
    </row>
    <row r="6" spans="2:8" ht="16.5" x14ac:dyDescent="0.25">
      <c r="B6" s="283" t="s">
        <v>138</v>
      </c>
      <c r="C6" s="284"/>
      <c r="D6" s="284"/>
      <c r="E6" s="284"/>
      <c r="F6" s="284"/>
      <c r="G6" s="284"/>
      <c r="H6" s="285"/>
    </row>
    <row r="7" spans="2:8" ht="95.25" customHeight="1" x14ac:dyDescent="0.25">
      <c r="B7" s="293" t="s">
        <v>143</v>
      </c>
      <c r="C7" s="294"/>
      <c r="D7" s="294"/>
      <c r="E7" s="294"/>
      <c r="F7" s="294"/>
      <c r="G7" s="294"/>
      <c r="H7" s="295"/>
    </row>
    <row r="8" spans="2:8" ht="16.5" x14ac:dyDescent="0.25">
      <c r="B8" s="92"/>
      <c r="C8" s="93"/>
      <c r="D8" s="93"/>
      <c r="E8" s="93"/>
      <c r="F8" s="93"/>
      <c r="G8" s="93"/>
      <c r="H8" s="94"/>
    </row>
    <row r="9" spans="2:8" ht="16.5" customHeight="1" x14ac:dyDescent="0.25">
      <c r="B9" s="286" t="s">
        <v>176</v>
      </c>
      <c r="C9" s="287"/>
      <c r="D9" s="287"/>
      <c r="E9" s="287"/>
      <c r="F9" s="287"/>
      <c r="G9" s="287"/>
      <c r="H9" s="288"/>
    </row>
    <row r="10" spans="2:8" ht="44.25" customHeight="1" x14ac:dyDescent="0.25">
      <c r="B10" s="286"/>
      <c r="C10" s="287"/>
      <c r="D10" s="287"/>
      <c r="E10" s="287"/>
      <c r="F10" s="287"/>
      <c r="G10" s="287"/>
      <c r="H10" s="288"/>
    </row>
    <row r="11" spans="2:8" ht="15.75" thickBot="1" x14ac:dyDescent="0.3">
      <c r="B11" s="81"/>
      <c r="C11" s="84"/>
      <c r="D11" s="89"/>
      <c r="E11" s="90"/>
      <c r="F11" s="90"/>
      <c r="G11" s="91"/>
      <c r="H11" s="85"/>
    </row>
    <row r="12" spans="2:8" ht="15.75" thickTop="1" x14ac:dyDescent="0.25">
      <c r="B12" s="81"/>
      <c r="C12" s="289" t="s">
        <v>139</v>
      </c>
      <c r="D12" s="290"/>
      <c r="E12" s="291" t="s">
        <v>177</v>
      </c>
      <c r="F12" s="292"/>
      <c r="G12" s="84"/>
      <c r="H12" s="85"/>
    </row>
    <row r="13" spans="2:8" ht="35.25" customHeight="1" x14ac:dyDescent="0.25">
      <c r="B13" s="81"/>
      <c r="C13" s="261" t="s">
        <v>170</v>
      </c>
      <c r="D13" s="262"/>
      <c r="E13" s="263" t="s">
        <v>175</v>
      </c>
      <c r="F13" s="264"/>
      <c r="G13" s="84"/>
      <c r="H13" s="85"/>
    </row>
    <row r="14" spans="2:8" ht="17.25" customHeight="1" x14ac:dyDescent="0.25">
      <c r="B14" s="81"/>
      <c r="C14" s="261" t="s">
        <v>171</v>
      </c>
      <c r="D14" s="262"/>
      <c r="E14" s="263" t="s">
        <v>173</v>
      </c>
      <c r="F14" s="264"/>
      <c r="G14" s="84"/>
      <c r="H14" s="85"/>
    </row>
    <row r="15" spans="2:8" ht="19.5" customHeight="1" x14ac:dyDescent="0.25">
      <c r="B15" s="81"/>
      <c r="C15" s="261" t="s">
        <v>172</v>
      </c>
      <c r="D15" s="262"/>
      <c r="E15" s="263" t="s">
        <v>174</v>
      </c>
      <c r="F15" s="264"/>
      <c r="G15" s="84"/>
      <c r="H15" s="85"/>
    </row>
    <row r="16" spans="2:8" ht="69.75" customHeight="1" x14ac:dyDescent="0.25">
      <c r="B16" s="81"/>
      <c r="C16" s="261" t="s">
        <v>141</v>
      </c>
      <c r="D16" s="262"/>
      <c r="E16" s="263" t="s">
        <v>142</v>
      </c>
      <c r="F16" s="264"/>
      <c r="G16" s="84"/>
      <c r="H16" s="85"/>
    </row>
    <row r="17" spans="2:8" ht="34.5" customHeight="1" x14ac:dyDescent="0.25">
      <c r="B17" s="81"/>
      <c r="C17" s="265" t="s">
        <v>2</v>
      </c>
      <c r="D17" s="266"/>
      <c r="E17" s="257" t="s">
        <v>184</v>
      </c>
      <c r="F17" s="258"/>
      <c r="G17" s="84"/>
      <c r="H17" s="85"/>
    </row>
    <row r="18" spans="2:8" ht="27.75" customHeight="1" x14ac:dyDescent="0.25">
      <c r="B18" s="81"/>
      <c r="C18" s="265" t="s">
        <v>3</v>
      </c>
      <c r="D18" s="266"/>
      <c r="E18" s="257" t="s">
        <v>185</v>
      </c>
      <c r="F18" s="258"/>
      <c r="G18" s="84"/>
      <c r="H18" s="85"/>
    </row>
    <row r="19" spans="2:8" ht="28.5" customHeight="1" x14ac:dyDescent="0.25">
      <c r="B19" s="81"/>
      <c r="C19" s="265" t="s">
        <v>38</v>
      </c>
      <c r="D19" s="266"/>
      <c r="E19" s="257" t="s">
        <v>186</v>
      </c>
      <c r="F19" s="258"/>
      <c r="G19" s="84"/>
      <c r="H19" s="85"/>
    </row>
    <row r="20" spans="2:8" ht="72.75" customHeight="1" x14ac:dyDescent="0.25">
      <c r="B20" s="81"/>
      <c r="C20" s="265" t="s">
        <v>1</v>
      </c>
      <c r="D20" s="266"/>
      <c r="E20" s="257" t="s">
        <v>187</v>
      </c>
      <c r="F20" s="258"/>
      <c r="G20" s="84"/>
      <c r="H20" s="85"/>
    </row>
    <row r="21" spans="2:8" ht="64.5" customHeight="1" x14ac:dyDescent="0.25">
      <c r="B21" s="81"/>
      <c r="C21" s="265" t="s">
        <v>44</v>
      </c>
      <c r="D21" s="266"/>
      <c r="E21" s="257" t="s">
        <v>145</v>
      </c>
      <c r="F21" s="258"/>
      <c r="G21" s="84"/>
      <c r="H21" s="85"/>
    </row>
    <row r="22" spans="2:8" ht="71.25" customHeight="1" x14ac:dyDescent="0.25">
      <c r="B22" s="81"/>
      <c r="C22" s="265" t="s">
        <v>144</v>
      </c>
      <c r="D22" s="266"/>
      <c r="E22" s="257" t="s">
        <v>146</v>
      </c>
      <c r="F22" s="258"/>
      <c r="G22" s="84"/>
      <c r="H22" s="85"/>
    </row>
    <row r="23" spans="2:8" ht="55.5" customHeight="1" x14ac:dyDescent="0.25">
      <c r="B23" s="81"/>
      <c r="C23" s="259" t="s">
        <v>147</v>
      </c>
      <c r="D23" s="260"/>
      <c r="E23" s="257" t="s">
        <v>148</v>
      </c>
      <c r="F23" s="258"/>
      <c r="G23" s="84"/>
      <c r="H23" s="85"/>
    </row>
    <row r="24" spans="2:8" ht="42" customHeight="1" x14ac:dyDescent="0.25">
      <c r="B24" s="81"/>
      <c r="C24" s="259" t="s">
        <v>42</v>
      </c>
      <c r="D24" s="260"/>
      <c r="E24" s="257" t="s">
        <v>149</v>
      </c>
      <c r="F24" s="258"/>
      <c r="G24" s="84"/>
      <c r="H24" s="85"/>
    </row>
    <row r="25" spans="2:8" ht="59.25" customHeight="1" x14ac:dyDescent="0.25">
      <c r="B25" s="81"/>
      <c r="C25" s="259" t="s">
        <v>137</v>
      </c>
      <c r="D25" s="260"/>
      <c r="E25" s="257" t="s">
        <v>150</v>
      </c>
      <c r="F25" s="258"/>
      <c r="G25" s="84"/>
      <c r="H25" s="85"/>
    </row>
    <row r="26" spans="2:8" ht="23.25" customHeight="1" x14ac:dyDescent="0.25">
      <c r="B26" s="81"/>
      <c r="C26" s="259" t="s">
        <v>12</v>
      </c>
      <c r="D26" s="260"/>
      <c r="E26" s="257" t="s">
        <v>151</v>
      </c>
      <c r="F26" s="258"/>
      <c r="G26" s="84"/>
      <c r="H26" s="85"/>
    </row>
    <row r="27" spans="2:8" ht="30.75" customHeight="1" x14ac:dyDescent="0.25">
      <c r="B27" s="81"/>
      <c r="C27" s="259" t="s">
        <v>155</v>
      </c>
      <c r="D27" s="260"/>
      <c r="E27" s="257" t="s">
        <v>152</v>
      </c>
      <c r="F27" s="258"/>
      <c r="G27" s="84"/>
      <c r="H27" s="85"/>
    </row>
    <row r="28" spans="2:8" ht="35.25" customHeight="1" x14ac:dyDescent="0.25">
      <c r="B28" s="81"/>
      <c r="C28" s="259" t="s">
        <v>156</v>
      </c>
      <c r="D28" s="260"/>
      <c r="E28" s="257" t="s">
        <v>153</v>
      </c>
      <c r="F28" s="258"/>
      <c r="G28" s="84"/>
      <c r="H28" s="85"/>
    </row>
    <row r="29" spans="2:8" ht="33" customHeight="1" x14ac:dyDescent="0.25">
      <c r="B29" s="81"/>
      <c r="C29" s="259" t="s">
        <v>156</v>
      </c>
      <c r="D29" s="260"/>
      <c r="E29" s="257" t="s">
        <v>153</v>
      </c>
      <c r="F29" s="258"/>
      <c r="G29" s="84"/>
      <c r="H29" s="85"/>
    </row>
    <row r="30" spans="2:8" ht="30" customHeight="1" x14ac:dyDescent="0.25">
      <c r="B30" s="81"/>
      <c r="C30" s="259" t="s">
        <v>157</v>
      </c>
      <c r="D30" s="260"/>
      <c r="E30" s="257" t="s">
        <v>154</v>
      </c>
      <c r="F30" s="258"/>
      <c r="G30" s="84"/>
      <c r="H30" s="85"/>
    </row>
    <row r="31" spans="2:8" ht="35.25" customHeight="1" x14ac:dyDescent="0.25">
      <c r="B31" s="81"/>
      <c r="C31" s="259" t="s">
        <v>158</v>
      </c>
      <c r="D31" s="260"/>
      <c r="E31" s="257" t="s">
        <v>159</v>
      </c>
      <c r="F31" s="258"/>
      <c r="G31" s="84"/>
      <c r="H31" s="85"/>
    </row>
    <row r="32" spans="2:8" ht="31.5" customHeight="1" x14ac:dyDescent="0.25">
      <c r="B32" s="81"/>
      <c r="C32" s="259" t="s">
        <v>160</v>
      </c>
      <c r="D32" s="260"/>
      <c r="E32" s="257" t="s">
        <v>161</v>
      </c>
      <c r="F32" s="258"/>
      <c r="G32" s="84"/>
      <c r="H32" s="85"/>
    </row>
    <row r="33" spans="2:8" ht="35.25" customHeight="1" x14ac:dyDescent="0.25">
      <c r="B33" s="81"/>
      <c r="C33" s="259" t="s">
        <v>162</v>
      </c>
      <c r="D33" s="260"/>
      <c r="E33" s="257" t="s">
        <v>163</v>
      </c>
      <c r="F33" s="258"/>
      <c r="G33" s="84"/>
      <c r="H33" s="85"/>
    </row>
    <row r="34" spans="2:8" ht="59.25" customHeight="1" x14ac:dyDescent="0.25">
      <c r="B34" s="81"/>
      <c r="C34" s="259" t="s">
        <v>164</v>
      </c>
      <c r="D34" s="260"/>
      <c r="E34" s="257" t="s">
        <v>165</v>
      </c>
      <c r="F34" s="258"/>
      <c r="G34" s="84"/>
      <c r="H34" s="85"/>
    </row>
    <row r="35" spans="2:8" ht="29.25" customHeight="1" x14ac:dyDescent="0.25">
      <c r="B35" s="81"/>
      <c r="C35" s="259" t="s">
        <v>29</v>
      </c>
      <c r="D35" s="260"/>
      <c r="E35" s="257" t="s">
        <v>166</v>
      </c>
      <c r="F35" s="258"/>
      <c r="G35" s="84"/>
      <c r="H35" s="85"/>
    </row>
    <row r="36" spans="2:8" ht="82.5" customHeight="1" x14ac:dyDescent="0.25">
      <c r="B36" s="81"/>
      <c r="C36" s="259" t="s">
        <v>168</v>
      </c>
      <c r="D36" s="260"/>
      <c r="E36" s="257" t="s">
        <v>167</v>
      </c>
      <c r="F36" s="258"/>
      <c r="G36" s="84"/>
      <c r="H36" s="85"/>
    </row>
    <row r="37" spans="2:8" ht="46.5" customHeight="1" x14ac:dyDescent="0.25">
      <c r="B37" s="81"/>
      <c r="C37" s="259" t="s">
        <v>35</v>
      </c>
      <c r="D37" s="260"/>
      <c r="E37" s="257" t="s">
        <v>169</v>
      </c>
      <c r="F37" s="258"/>
      <c r="G37" s="84"/>
      <c r="H37" s="85"/>
    </row>
    <row r="38" spans="2:8" ht="6.75" customHeight="1" thickBot="1" x14ac:dyDescent="0.3">
      <c r="B38" s="81"/>
      <c r="C38" s="270"/>
      <c r="D38" s="271"/>
      <c r="E38" s="272"/>
      <c r="F38" s="273"/>
      <c r="G38" s="84"/>
      <c r="H38" s="85"/>
    </row>
    <row r="39" spans="2:8" ht="15.75" thickTop="1" x14ac:dyDescent="0.25">
      <c r="B39" s="81"/>
      <c r="C39" s="82"/>
      <c r="D39" s="82"/>
      <c r="E39" s="83"/>
      <c r="F39" s="83"/>
      <c r="G39" s="84"/>
      <c r="H39" s="85"/>
    </row>
    <row r="40" spans="2:8" ht="21" customHeight="1" x14ac:dyDescent="0.25">
      <c r="B40" s="267" t="s">
        <v>178</v>
      </c>
      <c r="C40" s="268"/>
      <c r="D40" s="268"/>
      <c r="E40" s="268"/>
      <c r="F40" s="268"/>
      <c r="G40" s="268"/>
      <c r="H40" s="269"/>
    </row>
    <row r="41" spans="2:8" ht="20.25" customHeight="1" x14ac:dyDescent="0.25">
      <c r="B41" s="267" t="s">
        <v>179</v>
      </c>
      <c r="C41" s="268"/>
      <c r="D41" s="268"/>
      <c r="E41" s="268"/>
      <c r="F41" s="268"/>
      <c r="G41" s="268"/>
      <c r="H41" s="269"/>
    </row>
    <row r="42" spans="2:8" ht="20.25" customHeight="1" x14ac:dyDescent="0.25">
      <c r="B42" s="267" t="s">
        <v>180</v>
      </c>
      <c r="C42" s="268"/>
      <c r="D42" s="268"/>
      <c r="E42" s="268"/>
      <c r="F42" s="268"/>
      <c r="G42" s="268"/>
      <c r="H42" s="269"/>
    </row>
    <row r="43" spans="2:8" ht="20.25" customHeight="1" x14ac:dyDescent="0.25">
      <c r="B43" s="267" t="s">
        <v>181</v>
      </c>
      <c r="C43" s="268"/>
      <c r="D43" s="268"/>
      <c r="E43" s="268"/>
      <c r="F43" s="268"/>
      <c r="G43" s="268"/>
      <c r="H43" s="269"/>
    </row>
    <row r="44" spans="2:8" x14ac:dyDescent="0.25">
      <c r="B44" s="267" t="s">
        <v>182</v>
      </c>
      <c r="C44" s="268"/>
      <c r="D44" s="268"/>
      <c r="E44" s="268"/>
      <c r="F44" s="268"/>
      <c r="G44" s="268"/>
      <c r="H44" s="269"/>
    </row>
    <row r="45" spans="2:8" ht="15.75" thickBot="1" x14ac:dyDescent="0.3">
      <c r="B45" s="86"/>
      <c r="C45" s="87"/>
      <c r="D45" s="87"/>
      <c r="E45" s="87"/>
      <c r="F45" s="87"/>
      <c r="G45" s="87"/>
      <c r="H45" s="88"/>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48"/>
  <sheetViews>
    <sheetView topLeftCell="A240" zoomScale="60" zoomScaleNormal="60" workbookViewId="0">
      <selection activeCell="O273" sqref="O273"/>
    </sheetView>
  </sheetViews>
  <sheetFormatPr baseColWidth="10" defaultRowHeight="15" x14ac:dyDescent="0.25"/>
  <cols>
    <col min="2" max="9" width="5.7109375" customWidth="1"/>
    <col min="10" max="10" width="10.5703125" bestFit="1" customWidth="1"/>
    <col min="11" max="12" width="11" bestFit="1" customWidth="1"/>
    <col min="13" max="13" width="10.5703125" bestFit="1" customWidth="1"/>
    <col min="14" max="15" width="11" bestFit="1" customWidth="1"/>
    <col min="16" max="16" width="10.85546875" customWidth="1"/>
    <col min="17" max="17" width="11" bestFit="1" customWidth="1"/>
    <col min="18" max="18" width="11" customWidth="1"/>
    <col min="19" max="19" width="10.5703125" bestFit="1" customWidth="1"/>
    <col min="20" max="21" width="11" customWidth="1"/>
    <col min="22" max="22" width="10.85546875" bestFit="1" customWidth="1"/>
    <col min="23" max="24" width="9.7109375" customWidth="1"/>
    <col min="26" max="31" width="5.7109375" customWidth="1"/>
  </cols>
  <sheetData>
    <row r="1" spans="1:76"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row>
    <row r="2" spans="1:76" ht="18" customHeight="1" x14ac:dyDescent="0.25">
      <c r="A2" s="55"/>
      <c r="B2" s="313" t="s">
        <v>134</v>
      </c>
      <c r="C2" s="314"/>
      <c r="D2" s="314"/>
      <c r="E2" s="314"/>
      <c r="F2" s="314"/>
      <c r="G2" s="314"/>
      <c r="H2" s="314"/>
      <c r="I2" s="314"/>
      <c r="J2" s="315" t="s">
        <v>2</v>
      </c>
      <c r="K2" s="315"/>
      <c r="L2" s="315"/>
      <c r="M2" s="315"/>
      <c r="N2" s="315"/>
      <c r="O2" s="315"/>
      <c r="P2" s="315"/>
      <c r="Q2" s="315"/>
      <c r="R2" s="315"/>
      <c r="S2" s="315"/>
      <c r="T2" s="315"/>
      <c r="U2" s="315"/>
      <c r="V2" s="315"/>
      <c r="W2" s="315"/>
      <c r="X2" s="31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row>
    <row r="3" spans="1:76" ht="18.75" customHeight="1" x14ac:dyDescent="0.25">
      <c r="A3" s="55"/>
      <c r="B3" s="314"/>
      <c r="C3" s="314"/>
      <c r="D3" s="314"/>
      <c r="E3" s="314"/>
      <c r="F3" s="314"/>
      <c r="G3" s="314"/>
      <c r="H3" s="314"/>
      <c r="I3" s="314"/>
      <c r="J3" s="315"/>
      <c r="K3" s="315"/>
      <c r="L3" s="315"/>
      <c r="M3" s="315"/>
      <c r="N3" s="315"/>
      <c r="O3" s="315"/>
      <c r="P3" s="315"/>
      <c r="Q3" s="315"/>
      <c r="R3" s="315"/>
      <c r="S3" s="315"/>
      <c r="T3" s="315"/>
      <c r="U3" s="315"/>
      <c r="V3" s="315"/>
      <c r="W3" s="315"/>
      <c r="X3" s="31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row>
    <row r="4" spans="1:76" ht="15" customHeight="1" x14ac:dyDescent="0.25">
      <c r="A4" s="55"/>
      <c r="B4" s="314"/>
      <c r="C4" s="314"/>
      <c r="D4" s="314"/>
      <c r="E4" s="314"/>
      <c r="F4" s="314"/>
      <c r="G4" s="314"/>
      <c r="H4" s="314"/>
      <c r="I4" s="314"/>
      <c r="J4" s="315"/>
      <c r="K4" s="315"/>
      <c r="L4" s="315"/>
      <c r="M4" s="315"/>
      <c r="N4" s="315"/>
      <c r="O4" s="315"/>
      <c r="P4" s="315"/>
      <c r="Q4" s="315"/>
      <c r="R4" s="315"/>
      <c r="S4" s="315"/>
      <c r="T4" s="315"/>
      <c r="U4" s="315"/>
      <c r="V4" s="315"/>
      <c r="W4" s="315"/>
      <c r="X4" s="31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row>
    <row r="5" spans="1:76"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row>
    <row r="6" spans="1:76" ht="15" customHeight="1" x14ac:dyDescent="0.25">
      <c r="A6" s="55"/>
      <c r="B6" s="316" t="s">
        <v>4</v>
      </c>
      <c r="C6" s="316"/>
      <c r="D6" s="317"/>
      <c r="E6" s="302" t="s">
        <v>107</v>
      </c>
      <c r="F6" s="303"/>
      <c r="G6" s="303"/>
      <c r="H6" s="303"/>
      <c r="I6" s="303"/>
      <c r="J6" s="99" t="str">
        <f>IF(AND('Mapa final'!$AB$7="Muy Alta",'Mapa final'!$AD$7="Leve"),CONCATENATE("R1C",'Mapa final'!$R$7),"")</f>
        <v/>
      </c>
      <c r="K6" s="100" t="str">
        <f>IF(AND('Mapa final'!$AB$8="Muy Alta",'Mapa final'!$AD$8="Leve"),CONCATENATE("R1C",'Mapa final'!$R$8),"")</f>
        <v/>
      </c>
      <c r="L6" s="101" t="str">
        <f>IF(AND('Mapa final'!$AB$9="Muy Alta",'Mapa final'!$AD$9="Leve"),CONCATENATE("R1C",'Mapa final'!$R$9),"")</f>
        <v/>
      </c>
      <c r="M6" s="99" t="str">
        <f>IF(AND('Mapa final'!$AB$7="Muy Alta",'Mapa final'!$AD$7="Menor"),CONCATENATE("R1C",'Mapa final'!$R$7),"")</f>
        <v/>
      </c>
      <c r="N6" s="100" t="str">
        <f>IF(AND('Mapa final'!$AB$8="Muy Alta",'Mapa final'!$AD$8="Menor"),CONCATENATE("R1C",'Mapa final'!$R$8),"")</f>
        <v/>
      </c>
      <c r="O6" s="101" t="str">
        <f>IF(AND('Mapa final'!$AB$9="Muy Alta",'Mapa final'!$AD$9="Menor"),CONCATENATE("R1C",'Mapa final'!$R$9),"")</f>
        <v/>
      </c>
      <c r="P6" s="99" t="str">
        <f>IF(AND('Mapa final'!$AB$7="Muy Alta",'Mapa final'!$AD$7="Moderado"),CONCATENATE("R1C",'Mapa final'!$R$7),"")</f>
        <v/>
      </c>
      <c r="Q6" s="100" t="str">
        <f>IF(AND('Mapa final'!$AB$8="Muy Alta",'Mapa final'!$AD$8="Moderado"),CONCATENATE("R1C",'Mapa final'!$R$8),"")</f>
        <v/>
      </c>
      <c r="R6" s="101" t="str">
        <f>IF(AND('Mapa final'!$AB$9="Muy Alta",'Mapa final'!$AD$9="Moderado"),CONCATENATE("R1C",'Mapa final'!$R$9),"")</f>
        <v/>
      </c>
      <c r="S6" s="99" t="str">
        <f>IF(AND('Mapa final'!$AB$7="Muy Alta",'Mapa final'!$AD$7="Mayor"),CONCATENATE("R1C",'Mapa final'!$R$7),"")</f>
        <v/>
      </c>
      <c r="T6" s="100" t="str">
        <f>IF(AND('Mapa final'!$AB$8="Muy Alta",'Mapa final'!$AD$8="Mayor"),CONCATENATE("R1C",'Mapa final'!$R$8),"")</f>
        <v/>
      </c>
      <c r="U6" s="101" t="str">
        <f>IF(AND('Mapa final'!$AB$9="Muy Alta",'Mapa final'!$AD$9="Mayor"),CONCATENATE("R1C",'Mapa final'!$R$9),"")</f>
        <v/>
      </c>
      <c r="V6" s="39" t="str">
        <f>IF(AND('Mapa final'!$AB$7="Muy Alta",'Mapa final'!$AD$7="Catastrófico"),CONCATENATE("R1C",'Mapa final'!$R$7),"")</f>
        <v/>
      </c>
      <c r="W6" s="40" t="str">
        <f>IF(AND('Mapa final'!$AB$8="Muy Alta",'Mapa final'!$AD$8="Catastrófico"),CONCATENATE("R1C",'Mapa final'!$R$8),"")</f>
        <v/>
      </c>
      <c r="X6" s="96" t="str">
        <f>IF(AND('Mapa final'!$AB$9="Muy Alta",'Mapa final'!$AD$9="Catastrófico"),CONCATENATE("R1C",'Mapa final'!$R$9),"")</f>
        <v/>
      </c>
      <c r="Y6" s="55"/>
      <c r="Z6" s="307" t="s">
        <v>73</v>
      </c>
      <c r="AA6" s="308"/>
      <c r="AB6" s="308"/>
      <c r="AC6" s="308"/>
      <c r="AD6" s="308"/>
      <c r="AE6" s="309"/>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row>
    <row r="7" spans="1:76" ht="15" customHeight="1" x14ac:dyDescent="0.25">
      <c r="A7" s="55"/>
      <c r="B7" s="316"/>
      <c r="C7" s="316"/>
      <c r="D7" s="317"/>
      <c r="E7" s="306"/>
      <c r="F7" s="305"/>
      <c r="G7" s="305"/>
      <c r="H7" s="305"/>
      <c r="I7" s="305"/>
      <c r="J7" s="102" t="str">
        <f>IF(AND('Mapa final'!$AB$10="Muy Alta",'Mapa final'!$AD$10="Leve"),CONCATENATE("R2C",'Mapa final'!$R$10),"")</f>
        <v/>
      </c>
      <c r="K7" s="41" t="str">
        <f>IF(AND('Mapa final'!$AB$11="Muy Alta",'Mapa final'!$AD$11="Leve"),CONCATENATE("R2C",'Mapa final'!$R$11),"")</f>
        <v/>
      </c>
      <c r="L7" s="103" t="str">
        <f>IF(AND('Mapa final'!$AB$12="Muy Alta",'Mapa final'!$AD$12="Leve"),CONCATENATE("R2C",'Mapa final'!$R$12),"")</f>
        <v/>
      </c>
      <c r="M7" s="102" t="str">
        <f>IF(AND('Mapa final'!$AB$10="Muy Alta",'Mapa final'!$AD$10="Menor"),CONCATENATE("R2C",'Mapa final'!$R$10),"")</f>
        <v/>
      </c>
      <c r="N7" s="41" t="str">
        <f>IF(AND('Mapa final'!$AB$11="Muy Alta",'Mapa final'!$AD$11="Menor"),CONCATENATE("R2C",'Mapa final'!$R$11),"")</f>
        <v/>
      </c>
      <c r="O7" s="103" t="str">
        <f>IF(AND('Mapa final'!$AB$12="Muy Alta",'Mapa final'!$AD$12="Menor"),CONCATENATE("R2C",'Mapa final'!$R$12),"")</f>
        <v/>
      </c>
      <c r="P7" s="102" t="str">
        <f>IF(AND('Mapa final'!$AB$10="Muy Alta",'Mapa final'!$AD$10="Moderado"),CONCATENATE("R2C",'Mapa final'!$R$10),"")</f>
        <v/>
      </c>
      <c r="Q7" s="41" t="str">
        <f>IF(AND('Mapa final'!$AB$11="Muy Alta",'Mapa final'!$AD$11="Moderado"),CONCATENATE("R2C",'Mapa final'!$R$11),"")</f>
        <v/>
      </c>
      <c r="R7" s="103" t="str">
        <f>IF(AND('Mapa final'!$AB$12="Muy Alta",'Mapa final'!$AD$12="Moderado"),CONCATENATE("R2C",'Mapa final'!$R$12),"")</f>
        <v/>
      </c>
      <c r="S7" s="102" t="str">
        <f>IF(AND('Mapa final'!$AB$10="Muy Alta",'Mapa final'!$AD$10="Mayor"),CONCATENATE("R2C",'Mapa final'!$R$10),"")</f>
        <v/>
      </c>
      <c r="T7" s="41" t="str">
        <f>IF(AND('Mapa final'!$AB$11="Muy Alta",'Mapa final'!$AD$11="Mayor"),CONCATENATE("R2C",'Mapa final'!$R$11),"")</f>
        <v/>
      </c>
      <c r="U7" s="103" t="str">
        <f>IF(AND('Mapa final'!$AB$12="Muy Alta",'Mapa final'!$AD$12="Mayor"),CONCATENATE("R2C",'Mapa final'!$R$12),"")</f>
        <v/>
      </c>
      <c r="V7" s="42" t="str">
        <f>IF(AND('Mapa final'!$AB$10="Muy Alta",'Mapa final'!$AD$10="Catastrófico"),CONCATENATE("R2C",'Mapa final'!$R$10),"")</f>
        <v/>
      </c>
      <c r="W7" s="43" t="str">
        <f>IF(AND('Mapa final'!$AB$11="Muy Alta",'Mapa final'!$AD$11="Catastrófico"),CONCATENATE("R2C",'Mapa final'!$R$11),"")</f>
        <v/>
      </c>
      <c r="X7" s="97" t="str">
        <f>IF(AND('Mapa final'!$AB$12="Muy Alta",'Mapa final'!$AD$12="Catastrófico"),CONCATENATE("R2C",'Mapa final'!$R$12),"")</f>
        <v/>
      </c>
      <c r="Y7" s="55"/>
      <c r="Z7" s="310"/>
      <c r="AA7" s="311"/>
      <c r="AB7" s="311"/>
      <c r="AC7" s="311"/>
      <c r="AD7" s="311"/>
      <c r="AE7" s="312"/>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row>
    <row r="8" spans="1:76" ht="15" customHeight="1" x14ac:dyDescent="0.25">
      <c r="A8" s="55"/>
      <c r="B8" s="316"/>
      <c r="C8" s="316"/>
      <c r="D8" s="317"/>
      <c r="E8" s="306"/>
      <c r="F8" s="305"/>
      <c r="G8" s="305"/>
      <c r="H8" s="305"/>
      <c r="I8" s="305"/>
      <c r="J8" s="102" t="str">
        <f>IF(AND('Mapa final'!$AB$13="Muy Alta",'Mapa final'!$AD$13="Leve"),CONCATENATE("R3C",'Mapa final'!$R$13),"")</f>
        <v/>
      </c>
      <c r="K8" s="41" t="str">
        <f>IF(AND('Mapa final'!$AB$14="Muy Alta",'Mapa final'!$AD$14="Leve"),CONCATENATE("R3C",'Mapa final'!$R$14),"")</f>
        <v/>
      </c>
      <c r="L8" s="103" t="str">
        <f>IF(AND('Mapa final'!$AB$15="Muy Alta",'Mapa final'!$AD$15="Leve"),CONCATENATE("R3C",'Mapa final'!$R$15),"")</f>
        <v/>
      </c>
      <c r="M8" s="102" t="str">
        <f>IF(AND('Mapa final'!$AB$13="Muy Alta",'Mapa final'!$AD$13="Menor"),CONCATENATE("R3C",'Mapa final'!$R$13),"")</f>
        <v/>
      </c>
      <c r="N8" s="41" t="str">
        <f>IF(AND('Mapa final'!$AB$14="Muy Alta",'Mapa final'!$AD$14="Menor"),CONCATENATE("R3C",'Mapa final'!$R$14),"")</f>
        <v/>
      </c>
      <c r="O8" s="103" t="str">
        <f>IF(AND('Mapa final'!$AB$15="Muy Alta",'Mapa final'!$AD$15="Menor"),CONCATENATE("R3C",'Mapa final'!$R$15),"")</f>
        <v/>
      </c>
      <c r="P8" s="102" t="str">
        <f>IF(AND('Mapa final'!$AB$13="Muy Alta",'Mapa final'!$AD$13="Moderado"),CONCATENATE("R3C",'Mapa final'!$R$13),"")</f>
        <v/>
      </c>
      <c r="Q8" s="41" t="str">
        <f>IF(AND('Mapa final'!$AB$14="Muy Alta",'Mapa final'!$AD$14="Moderado"),CONCATENATE("R3C",'Mapa final'!$R$14),"")</f>
        <v/>
      </c>
      <c r="R8" s="103" t="str">
        <f>IF(AND('Mapa final'!$AB$15="Muy Alta",'Mapa final'!$AD$15="Moderado"),CONCATENATE("R3C",'Mapa final'!$R$15),"")</f>
        <v/>
      </c>
      <c r="S8" s="102" t="str">
        <f>IF(AND('Mapa final'!$AB$13="Muy Alta",'Mapa final'!$AD$13="Mayor"),CONCATENATE("R3C",'Mapa final'!$R$13),"")</f>
        <v/>
      </c>
      <c r="T8" s="41" t="str">
        <f>IF(AND('Mapa final'!$AB$14="Muy Alta",'Mapa final'!$AD$14="Mayor"),CONCATENATE("R3C",'Mapa final'!$R$14),"")</f>
        <v/>
      </c>
      <c r="U8" s="103" t="str">
        <f>IF(AND('Mapa final'!$AB$15="Muy Alta",'Mapa final'!$AD$15="Mayor"),CONCATENATE("R3C",'Mapa final'!$R$15),"")</f>
        <v/>
      </c>
      <c r="V8" s="42" t="str">
        <f>IF(AND('Mapa final'!$AB$13="Muy Alta",'Mapa final'!$AD$13="Catastrófico"),CONCATENATE("R3C",'Mapa final'!$R$13),"")</f>
        <v/>
      </c>
      <c r="W8" s="43" t="str">
        <f>IF(AND('Mapa final'!$AB$14="Muy Alta",'Mapa final'!$AD$14="Catastrófico"),CONCATENATE("R3C",'Mapa final'!$R$14),"")</f>
        <v/>
      </c>
      <c r="X8" s="97" t="str">
        <f>IF(AND('Mapa final'!$AB$15="Muy Alta",'Mapa final'!$AD$15="Catastrófico"),CONCATENATE("R3C",'Mapa final'!$R$15),"")</f>
        <v/>
      </c>
      <c r="Y8" s="55"/>
      <c r="Z8" s="310"/>
      <c r="AA8" s="311"/>
      <c r="AB8" s="311"/>
      <c r="AC8" s="311"/>
      <c r="AD8" s="311"/>
      <c r="AE8" s="312"/>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row>
    <row r="9" spans="1:76" ht="15" customHeight="1" x14ac:dyDescent="0.25">
      <c r="A9" s="55"/>
      <c r="B9" s="316"/>
      <c r="C9" s="316"/>
      <c r="D9" s="317"/>
      <c r="E9" s="306"/>
      <c r="F9" s="305"/>
      <c r="G9" s="305"/>
      <c r="H9" s="305"/>
      <c r="I9" s="305"/>
      <c r="J9" s="102" t="e">
        <f>IF(AND('Mapa final'!#REF!="Muy Alta",'Mapa final'!#REF!="Leve"),CONCATENATE("R4C",'Mapa final'!#REF!),"")</f>
        <v>#REF!</v>
      </c>
      <c r="K9" s="41" t="e">
        <f>IF(AND('Mapa final'!#REF!="Muy Alta",'Mapa final'!#REF!="Leve"),CONCATENATE("R4C",'Mapa final'!#REF!),"")</f>
        <v>#REF!</v>
      </c>
      <c r="L9" s="103" t="e">
        <f>IF(AND('Mapa final'!#REF!="Muy Alta",'Mapa final'!#REF!="Leve"),CONCATENATE("R4C",'Mapa final'!#REF!),"")</f>
        <v>#REF!</v>
      </c>
      <c r="M9" s="102" t="e">
        <f>IF(AND('Mapa final'!#REF!="Muy Alta",'Mapa final'!#REF!="Menor"),CONCATENATE("R4C",'Mapa final'!#REF!),"")</f>
        <v>#REF!</v>
      </c>
      <c r="N9" s="41" t="e">
        <f>IF(AND('Mapa final'!#REF!="Muy Alta",'Mapa final'!#REF!="Menor"),CONCATENATE("R4C",'Mapa final'!#REF!),"")</f>
        <v>#REF!</v>
      </c>
      <c r="O9" s="103" t="e">
        <f>IF(AND('Mapa final'!#REF!="Muy Alta",'Mapa final'!#REF!="Menor"),CONCATENATE("R4C",'Mapa final'!#REF!),"")</f>
        <v>#REF!</v>
      </c>
      <c r="P9" s="102" t="e">
        <f>IF(AND('Mapa final'!#REF!="Muy Alta",'Mapa final'!#REF!="Moderado"),CONCATENATE("R4C",'Mapa final'!#REF!),"")</f>
        <v>#REF!</v>
      </c>
      <c r="Q9" s="41" t="e">
        <f>IF(AND('Mapa final'!#REF!="Muy Alta",'Mapa final'!#REF!="Moderado"),CONCATENATE("R4C",'Mapa final'!#REF!),"")</f>
        <v>#REF!</v>
      </c>
      <c r="R9" s="103" t="e">
        <f>IF(AND('Mapa final'!#REF!="Muy Alta",'Mapa final'!#REF!="Moderado"),CONCATENATE("R4C",'Mapa final'!#REF!),"")</f>
        <v>#REF!</v>
      </c>
      <c r="S9" s="102" t="e">
        <f>IF(AND('Mapa final'!#REF!="Muy Alta",'Mapa final'!#REF!="Mayor"),CONCATENATE("R4C",'Mapa final'!#REF!),"")</f>
        <v>#REF!</v>
      </c>
      <c r="T9" s="41" t="e">
        <f>IF(AND('Mapa final'!#REF!="Muy Alta",'Mapa final'!#REF!="Mayor"),CONCATENATE("R4C",'Mapa final'!#REF!),"")</f>
        <v>#REF!</v>
      </c>
      <c r="U9" s="103" t="e">
        <f>IF(AND('Mapa final'!#REF!="Muy Alta",'Mapa final'!#REF!="Mayor"),CONCATENATE("R4C",'Mapa final'!#REF!),"")</f>
        <v>#REF!</v>
      </c>
      <c r="V9" s="42" t="e">
        <f>IF(AND('Mapa final'!#REF!="Muy Alta",'Mapa final'!#REF!="Catastrófico"),CONCATENATE("R4C",'Mapa final'!#REF!),"")</f>
        <v>#REF!</v>
      </c>
      <c r="W9" s="43" t="e">
        <f>IF(AND('Mapa final'!#REF!="Muy Alta",'Mapa final'!#REF!="Catastrófico"),CONCATENATE("R4C",'Mapa final'!#REF!),"")</f>
        <v>#REF!</v>
      </c>
      <c r="X9" s="97" t="e">
        <f>IF(AND('Mapa final'!#REF!="Muy Alta",'Mapa final'!#REF!="Catastrófico"),CONCATENATE("R4C",'Mapa final'!#REF!),"")</f>
        <v>#REF!</v>
      </c>
      <c r="Y9" s="55"/>
      <c r="Z9" s="310"/>
      <c r="AA9" s="311"/>
      <c r="AB9" s="311"/>
      <c r="AC9" s="311"/>
      <c r="AD9" s="311"/>
      <c r="AE9" s="312"/>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row>
    <row r="10" spans="1:76" ht="15" customHeight="1" x14ac:dyDescent="0.25">
      <c r="A10" s="55"/>
      <c r="B10" s="316"/>
      <c r="C10" s="316"/>
      <c r="D10" s="317"/>
      <c r="E10" s="306"/>
      <c r="F10" s="305"/>
      <c r="G10" s="305"/>
      <c r="H10" s="305"/>
      <c r="I10" s="305"/>
      <c r="J10" s="102" t="str">
        <f>IF(AND('Mapa final'!$AB$16="Muy Alta",'Mapa final'!$AD$16="Leve"),CONCATENATE("R5C",'Mapa final'!$R$16),"")</f>
        <v/>
      </c>
      <c r="K10" s="41" t="str">
        <f>IF(AND('Mapa final'!$AB$17="Muy Alta",'Mapa final'!$AD$17="Leve"),CONCATENATE("R5C",'Mapa final'!$R$17),"")</f>
        <v/>
      </c>
      <c r="L10" s="103" t="str">
        <f>IF(AND('Mapa final'!$AB$18="Muy Alta",'Mapa final'!$AD$18="Leve"),CONCATENATE("R5C",'Mapa final'!$R$18),"")</f>
        <v/>
      </c>
      <c r="M10" s="102" t="str">
        <f>IF(AND('Mapa final'!$AB$16="Muy Alta",'Mapa final'!$AD$16="Menor"),CONCATENATE("R5C",'Mapa final'!$R$16),"")</f>
        <v/>
      </c>
      <c r="N10" s="41" t="str">
        <f>IF(AND('Mapa final'!$AB$17="Muy Alta",'Mapa final'!$AD$17="Menor"),CONCATENATE("R5C",'Mapa final'!$R$17),"")</f>
        <v/>
      </c>
      <c r="O10" s="103" t="str">
        <f>IF(AND('Mapa final'!$AB$18="Muy Alta",'Mapa final'!$AD$18="Menor"),CONCATENATE("R5C",'Mapa final'!$R$18),"")</f>
        <v/>
      </c>
      <c r="P10" s="102" t="str">
        <f>IF(AND('Mapa final'!$AB$16="Muy Alta",'Mapa final'!$AD$16="Moderado"),CONCATENATE("R5C",'Mapa final'!$R$16),"")</f>
        <v/>
      </c>
      <c r="Q10" s="41" t="str">
        <f>IF(AND('Mapa final'!$AB$17="Muy Alta",'Mapa final'!$AD$17="Moderado"),CONCATENATE("R5C",'Mapa final'!$R$17),"")</f>
        <v/>
      </c>
      <c r="R10" s="103" t="str">
        <f>IF(AND('Mapa final'!$AB$18="Muy Alta",'Mapa final'!$AD$18="Moderado"),CONCATENATE("R5C",'Mapa final'!$R$18),"")</f>
        <v/>
      </c>
      <c r="S10" s="102" t="str">
        <f>IF(AND('Mapa final'!$AB$16="Muy Alta",'Mapa final'!$AD$16="Mayor"),CONCATENATE("R5C",'Mapa final'!$R$16),"")</f>
        <v/>
      </c>
      <c r="T10" s="41" t="str">
        <f>IF(AND('Mapa final'!$AB$17="Muy Alta",'Mapa final'!$AD$17="Mayor"),CONCATENATE("R5C",'Mapa final'!$R$17),"")</f>
        <v/>
      </c>
      <c r="U10" s="103" t="str">
        <f>IF(AND('Mapa final'!$AB$18="Muy Alta",'Mapa final'!$AD$18="Mayor"),CONCATENATE("R5C",'Mapa final'!$R$18),"")</f>
        <v/>
      </c>
      <c r="V10" s="42" t="str">
        <f>IF(AND('Mapa final'!$AB$16="Muy Alta",'Mapa final'!$AD$16="Catastrófico"),CONCATENATE("R5C",'Mapa final'!$R$16),"")</f>
        <v/>
      </c>
      <c r="W10" s="43" t="str">
        <f>IF(AND('Mapa final'!$AB$17="Muy Alta",'Mapa final'!$AD$17="Catastrófico"),CONCATENATE("R5C",'Mapa final'!$R$17),"")</f>
        <v/>
      </c>
      <c r="X10" s="97" t="str">
        <f>IF(AND('Mapa final'!$AB$18="Muy Alta",'Mapa final'!$AD$18="Catastrófico"),CONCATENATE("R5C",'Mapa final'!$R$18),"")</f>
        <v/>
      </c>
      <c r="Y10" s="55"/>
      <c r="Z10" s="310"/>
      <c r="AA10" s="311"/>
      <c r="AB10" s="311"/>
      <c r="AC10" s="311"/>
      <c r="AD10" s="311"/>
      <c r="AE10" s="312"/>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row>
    <row r="11" spans="1:76" ht="15" customHeight="1" x14ac:dyDescent="0.25">
      <c r="A11" s="55"/>
      <c r="B11" s="316"/>
      <c r="C11" s="316"/>
      <c r="D11" s="317"/>
      <c r="E11" s="306"/>
      <c r="F11" s="305"/>
      <c r="G11" s="305"/>
      <c r="H11" s="305"/>
      <c r="I11" s="305"/>
      <c r="J11" s="102" t="str">
        <f>IF(AND('Mapa final'!$AB$19="Muy Alta",'Mapa final'!$AD$19="Leve"),CONCATENATE("R6C",'Mapa final'!$R$19),"")</f>
        <v/>
      </c>
      <c r="K11" s="41" t="str">
        <f>IF(AND('Mapa final'!$AB$20="Muy Alta",'Mapa final'!$AD$20="Leve"),CONCATENATE("R6C",'Mapa final'!$R$20),"")</f>
        <v/>
      </c>
      <c r="L11" s="103" t="str">
        <f>IF(AND('Mapa final'!$AB$21="Muy Alta",'Mapa final'!$AD$21="Leve"),CONCATENATE("R6C",'Mapa final'!$R$21),"")</f>
        <v/>
      </c>
      <c r="M11" s="102" t="str">
        <f>IF(AND('Mapa final'!$AB$19="Muy Alta",'Mapa final'!$AD$19="Menor"),CONCATENATE("R6C",'Mapa final'!$R$19),"")</f>
        <v/>
      </c>
      <c r="N11" s="41" t="str">
        <f>IF(AND('Mapa final'!$AB$20="Muy Alta",'Mapa final'!$AD$20="Menor"),CONCATENATE("R6C",'Mapa final'!$R$20),"")</f>
        <v/>
      </c>
      <c r="O11" s="103" t="str">
        <f>IF(AND('Mapa final'!$AB$21="Muy Alta",'Mapa final'!$AD$21="Menor"),CONCATENATE("R6C",'Mapa final'!$R$21),"")</f>
        <v/>
      </c>
      <c r="P11" s="102" t="str">
        <f>IF(AND('Mapa final'!$AB$19="Muy Alta",'Mapa final'!$AD$19="Moderado"),CONCATENATE("R6C",'Mapa final'!$R$19),"")</f>
        <v/>
      </c>
      <c r="Q11" s="41" t="str">
        <f>IF(AND('Mapa final'!$AB$20="Muy Alta",'Mapa final'!$AD$20="Moderado"),CONCATENATE("R6C",'Mapa final'!$R$20),"")</f>
        <v/>
      </c>
      <c r="R11" s="103" t="str">
        <f>IF(AND('Mapa final'!$AB$21="Muy Alta",'Mapa final'!$AD$21="Moderado"),CONCATENATE("R6C",'Mapa final'!$R$21),"")</f>
        <v/>
      </c>
      <c r="S11" s="102" t="str">
        <f>IF(AND('Mapa final'!$AB$19="Muy Alta",'Mapa final'!$AD$19="Mayor"),CONCATENATE("R6C",'Mapa final'!$R$19),"")</f>
        <v/>
      </c>
      <c r="T11" s="41" t="str">
        <f>IF(AND('Mapa final'!$AB$20="Muy Alta",'Mapa final'!$AD$20="Mayor"),CONCATENATE("R6C",'Mapa final'!$R$20),"")</f>
        <v/>
      </c>
      <c r="U11" s="103" t="str">
        <f>IF(AND('Mapa final'!$AB$21="Muy Alta",'Mapa final'!$AD$21="Mayor"),CONCATENATE("R6C",'Mapa final'!$R$21),"")</f>
        <v/>
      </c>
      <c r="V11" s="42" t="str">
        <f>IF(AND('Mapa final'!$AB$19="Muy Alta",'Mapa final'!$AD$19="Catastrófico"),CONCATENATE("R6C",'Mapa final'!$R$19),"")</f>
        <v/>
      </c>
      <c r="W11" s="43" t="str">
        <f>IF(AND('Mapa final'!$AB$20="Muy Alta",'Mapa final'!$AD$20="Catastrófico"),CONCATENATE("R6C",'Mapa final'!$R$20),"")</f>
        <v/>
      </c>
      <c r="X11" s="97" t="str">
        <f>IF(AND('Mapa final'!$AB$21="Muy Alta",'Mapa final'!$AD$21="Catastrófico"),CONCATENATE("R6C",'Mapa final'!$R$21),"")</f>
        <v/>
      </c>
      <c r="Y11" s="55"/>
      <c r="Z11" s="310"/>
      <c r="AA11" s="311"/>
      <c r="AB11" s="311"/>
      <c r="AC11" s="311"/>
      <c r="AD11" s="311"/>
      <c r="AE11" s="312"/>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5"/>
      <c r="BH11" s="55"/>
      <c r="BI11" s="55"/>
    </row>
    <row r="12" spans="1:76" ht="15" customHeight="1" x14ac:dyDescent="0.25">
      <c r="A12" s="55"/>
      <c r="B12" s="316"/>
      <c r="C12" s="316"/>
      <c r="D12" s="317"/>
      <c r="E12" s="306"/>
      <c r="F12" s="305"/>
      <c r="G12" s="305"/>
      <c r="H12" s="305"/>
      <c r="I12" s="305"/>
      <c r="J12" s="102" t="str">
        <f>IF(AND('Mapa final'!$AB$22="Muy Alta",'Mapa final'!$AD$22="Leve"),CONCATENATE("R7C",'Mapa final'!$R$22),"")</f>
        <v/>
      </c>
      <c r="K12" s="41" t="str">
        <f>IF(AND('Mapa final'!$AB$23="Muy Alta",'Mapa final'!$AD$23="Leve"),CONCATENATE("R7C",'Mapa final'!$R$23),"")</f>
        <v/>
      </c>
      <c r="L12" s="103" t="str">
        <f>IF(AND('Mapa final'!$AB$24="Muy Alta",'Mapa final'!$AD$24="Leve"),CONCATENATE("R7C",'Mapa final'!$R$24),"")</f>
        <v/>
      </c>
      <c r="M12" s="102" t="str">
        <f>IF(AND('Mapa final'!$AB$22="Muy Alta",'Mapa final'!$AD$22="Menor"),CONCATENATE("R7C",'Mapa final'!$R$22),"")</f>
        <v/>
      </c>
      <c r="N12" s="41" t="str">
        <f>IF(AND('Mapa final'!$AB$23="Muy Alta",'Mapa final'!$AD$23="Menor"),CONCATENATE("R7C",'Mapa final'!$R$23),"")</f>
        <v/>
      </c>
      <c r="O12" s="103" t="str">
        <f>IF(AND('Mapa final'!$AB$24="Muy Alta",'Mapa final'!$AD$24="Menor"),CONCATENATE("R7C",'Mapa final'!$R$24),"")</f>
        <v/>
      </c>
      <c r="P12" s="102" t="str">
        <f>IF(AND('Mapa final'!$AB$22="Muy Alta",'Mapa final'!$AD$22="Moderado"),CONCATENATE("R7C",'Mapa final'!$R$22),"")</f>
        <v/>
      </c>
      <c r="Q12" s="41" t="str">
        <f>IF(AND('Mapa final'!$AB$23="Muy Alta",'Mapa final'!$AD$23="Moderado"),CONCATENATE("R7C",'Mapa final'!$R$23),"")</f>
        <v/>
      </c>
      <c r="R12" s="103" t="str">
        <f>IF(AND('Mapa final'!$AB$24="Muy Alta",'Mapa final'!$AD$24="Moderado"),CONCATENATE("R7C",'Mapa final'!$R$24),"")</f>
        <v/>
      </c>
      <c r="S12" s="102" t="str">
        <f>IF(AND('Mapa final'!$AB$22="Muy Alta",'Mapa final'!$AD$22="Mayor"),CONCATENATE("R7C",'Mapa final'!$R$22),"")</f>
        <v/>
      </c>
      <c r="T12" s="41" t="str">
        <f>IF(AND('Mapa final'!$AB$23="Muy Alta",'Mapa final'!$AD$23="Mayor"),CONCATENATE("R7C",'Mapa final'!$R$23),"")</f>
        <v/>
      </c>
      <c r="U12" s="103" t="str">
        <f>IF(AND('Mapa final'!$AB$24="Muy Alta",'Mapa final'!$AD$24="Mayor"),CONCATENATE("R7C",'Mapa final'!$R$24),"")</f>
        <v/>
      </c>
      <c r="V12" s="42" t="str">
        <f>IF(AND('Mapa final'!$AB$22="Muy Alta",'Mapa final'!$AD$22="Catastrófico"),CONCATENATE("R7C",'Mapa final'!$R$22),"")</f>
        <v/>
      </c>
      <c r="W12" s="43" t="str">
        <f>IF(AND('Mapa final'!$AB$23="Muy Alta",'Mapa final'!$AD$23="Catastrófico"),CONCATENATE("R7C",'Mapa final'!$R$23),"")</f>
        <v/>
      </c>
      <c r="X12" s="97" t="str">
        <f>IF(AND('Mapa final'!$AB$24="Muy Alta",'Mapa final'!$AD$24="Catastrófico"),CONCATENATE("R7C",'Mapa final'!$R$24),"")</f>
        <v/>
      </c>
      <c r="Y12" s="55"/>
      <c r="Z12" s="310"/>
      <c r="AA12" s="311"/>
      <c r="AB12" s="311"/>
      <c r="AC12" s="311"/>
      <c r="AD12" s="311"/>
      <c r="AE12" s="312"/>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row>
    <row r="13" spans="1:76" ht="15" customHeight="1" x14ac:dyDescent="0.25">
      <c r="A13" s="55"/>
      <c r="B13" s="316"/>
      <c r="C13" s="316"/>
      <c r="D13" s="317"/>
      <c r="E13" s="306"/>
      <c r="F13" s="305"/>
      <c r="G13" s="305"/>
      <c r="H13" s="305"/>
      <c r="I13" s="305"/>
      <c r="J13" s="102" t="str">
        <f>IF(AND('Mapa final'!$AB$25="Muy Alta",'Mapa final'!$AD$25="Leve"),CONCATENATE("R8C",'Mapa final'!$R$25),"")</f>
        <v/>
      </c>
      <c r="K13" s="41" t="str">
        <f>IF(AND('Mapa final'!$AB$26="Muy Alta",'Mapa final'!$AD$26="Leve"),CONCATENATE("R8C",'Mapa final'!$R$26),"")</f>
        <v/>
      </c>
      <c r="L13" s="103" t="str">
        <f>IF(AND('Mapa final'!$AB$27="Muy Alta",'Mapa final'!$AD$27="Leve"),CONCATENATE("R8C",'Mapa final'!$R$27),"")</f>
        <v/>
      </c>
      <c r="M13" s="102" t="str">
        <f>IF(AND('Mapa final'!$AB$25="Muy Alta",'Mapa final'!$AD$25="Menor"),CONCATENATE("R8C",'Mapa final'!$R$25),"")</f>
        <v/>
      </c>
      <c r="N13" s="41" t="str">
        <f>IF(AND('Mapa final'!$AB$26="Muy Alta",'Mapa final'!$AD$26="Menor"),CONCATENATE("R8C",'Mapa final'!$R$26),"")</f>
        <v/>
      </c>
      <c r="O13" s="103" t="str">
        <f>IF(AND('Mapa final'!$AB$27="Muy Alta",'Mapa final'!$AD$27="Menor"),CONCATENATE("R8C",'Mapa final'!$R$27),"")</f>
        <v/>
      </c>
      <c r="P13" s="102" t="str">
        <f>IF(AND('Mapa final'!$AB$25="Muy Alta",'Mapa final'!$AD$25="Moderado"),CONCATENATE("R8C",'Mapa final'!$R$25),"")</f>
        <v/>
      </c>
      <c r="Q13" s="41" t="str">
        <f>IF(AND('Mapa final'!$AB$26="Muy Alta",'Mapa final'!$AD$26="Moderado"),CONCATENATE("R8C",'Mapa final'!$R$26),"")</f>
        <v/>
      </c>
      <c r="R13" s="103" t="str">
        <f>IF(AND('Mapa final'!$AB$27="Muy Alta",'Mapa final'!$AD$27="Moderado"),CONCATENATE("R8C",'Mapa final'!$R$27),"")</f>
        <v/>
      </c>
      <c r="S13" s="102" t="str">
        <f>IF(AND('Mapa final'!$AB$25="Muy Alta",'Mapa final'!$AD$25="Mayor"),CONCATENATE("R8C",'Mapa final'!$R$25),"")</f>
        <v/>
      </c>
      <c r="T13" s="41" t="str">
        <f>IF(AND('Mapa final'!$AB$26="Muy Alta",'Mapa final'!$AD$26="Mayor"),CONCATENATE("R8C",'Mapa final'!$R$26),"")</f>
        <v/>
      </c>
      <c r="U13" s="103" t="str">
        <f>IF(AND('Mapa final'!$AB$27="Muy Alta",'Mapa final'!$AD$27="Mayor"),CONCATENATE("R8C",'Mapa final'!$R$27),"")</f>
        <v/>
      </c>
      <c r="V13" s="42" t="str">
        <f>IF(AND('Mapa final'!$AB$25="Muy Alta",'Mapa final'!$AD$25="Catastrófico"),CONCATENATE("R8C",'Mapa final'!$R$25),"")</f>
        <v/>
      </c>
      <c r="W13" s="43" t="str">
        <f>IF(AND('Mapa final'!$AB$26="Muy Alta",'Mapa final'!$AD$26="Catastrófico"),CONCATENATE("R8C",'Mapa final'!$R$26),"")</f>
        <v/>
      </c>
      <c r="X13" s="97" t="str">
        <f>IF(AND('Mapa final'!$AB$27="Muy Alta",'Mapa final'!$AD$27="Catastrófico"),CONCATENATE("R8C",'Mapa final'!$R$27),"")</f>
        <v/>
      </c>
      <c r="Y13" s="55"/>
      <c r="Z13" s="310"/>
      <c r="AA13" s="311"/>
      <c r="AB13" s="311"/>
      <c r="AC13" s="311"/>
      <c r="AD13" s="311"/>
      <c r="AE13" s="312"/>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5"/>
      <c r="BH13" s="55"/>
      <c r="BI13" s="55"/>
    </row>
    <row r="14" spans="1:76" ht="15" customHeight="1" x14ac:dyDescent="0.25">
      <c r="A14" s="55"/>
      <c r="B14" s="316"/>
      <c r="C14" s="316"/>
      <c r="D14" s="317"/>
      <c r="E14" s="306"/>
      <c r="F14" s="305"/>
      <c r="G14" s="305"/>
      <c r="H14" s="305"/>
      <c r="I14" s="305"/>
      <c r="J14" s="102" t="str">
        <f>IF(AND('Mapa final'!$AB$28="Muy Alta",'Mapa final'!$AD$28="Leve"),CONCATENATE("R9C",'Mapa final'!$R$28),"")</f>
        <v/>
      </c>
      <c r="K14" s="41" t="str">
        <f>IF(AND('Mapa final'!$AB$29="Muy Alta",'Mapa final'!$AD$29="Leve"),CONCATENATE("R9C",'Mapa final'!$R$29),"")</f>
        <v/>
      </c>
      <c r="L14" s="103" t="str">
        <f>IF(AND('Mapa final'!$AB$30="Muy Alta",'Mapa final'!$AD$30="Leve"),CONCATENATE("R9C",'Mapa final'!$R$30),"")</f>
        <v/>
      </c>
      <c r="M14" s="102" t="str">
        <f>IF(AND('Mapa final'!$AB$28="Muy Alta",'Mapa final'!$AD$28="Menor"),CONCATENATE("R9C",'Mapa final'!$R$28),"")</f>
        <v/>
      </c>
      <c r="N14" s="41" t="str">
        <f>IF(AND('Mapa final'!$AB$29="Muy Alta",'Mapa final'!$AD$29="Menor"),CONCATENATE("R9C",'Mapa final'!$R$29),"")</f>
        <v/>
      </c>
      <c r="O14" s="103" t="str">
        <f>IF(AND('Mapa final'!$AB$30="Muy Alta",'Mapa final'!$AD$30="Menor"),CONCATENATE("R9C",'Mapa final'!$R$30),"")</f>
        <v/>
      </c>
      <c r="P14" s="102" t="str">
        <f>IF(AND('Mapa final'!$AB$28="Muy Alta",'Mapa final'!$AD$28="Moderado"),CONCATENATE("R9C",'Mapa final'!$R$28),"")</f>
        <v/>
      </c>
      <c r="Q14" s="41" t="str">
        <f>IF(AND('Mapa final'!$AB$29="Muy Alta",'Mapa final'!$AD$29="Moderado"),CONCATENATE("R9C",'Mapa final'!$R$29),"")</f>
        <v/>
      </c>
      <c r="R14" s="103" t="str">
        <f>IF(AND('Mapa final'!$AB$30="Muy Alta",'Mapa final'!$AD$30="Moderado"),CONCATENATE("R9C",'Mapa final'!$R$30),"")</f>
        <v/>
      </c>
      <c r="S14" s="102" t="str">
        <f>IF(AND('Mapa final'!$AB$28="Muy Alta",'Mapa final'!$AD$28="Mayor"),CONCATENATE("R9C",'Mapa final'!$R$28),"")</f>
        <v/>
      </c>
      <c r="T14" s="41" t="str">
        <f>IF(AND('Mapa final'!$AB$29="Muy Alta",'Mapa final'!$AD$29="Mayor"),CONCATENATE("R9C",'Mapa final'!$R$29),"")</f>
        <v/>
      </c>
      <c r="U14" s="103" t="str">
        <f>IF(AND('Mapa final'!$AB$30="Muy Alta",'Mapa final'!$AD$30="Mayor"),CONCATENATE("R9C",'Mapa final'!$R$30),"")</f>
        <v/>
      </c>
      <c r="V14" s="42" t="str">
        <f>IF(AND('Mapa final'!$AB$28="Muy Alta",'Mapa final'!$AD$28="Catastrófico"),CONCATENATE("R9C",'Mapa final'!$R$28),"")</f>
        <v/>
      </c>
      <c r="W14" s="43" t="str">
        <f>IF(AND('Mapa final'!$AB$29="Muy Alta",'Mapa final'!$AD$29="Catastrófico"),CONCATENATE("R9C",'Mapa final'!$R$29),"")</f>
        <v/>
      </c>
      <c r="X14" s="97" t="str">
        <f>IF(AND('Mapa final'!$AB$30="Muy Alta",'Mapa final'!$AD$30="Catastrófico"),CONCATENATE("R9C",'Mapa final'!$R$30),"")</f>
        <v/>
      </c>
      <c r="Y14" s="55"/>
      <c r="Z14" s="310"/>
      <c r="AA14" s="311"/>
      <c r="AB14" s="311"/>
      <c r="AC14" s="311"/>
      <c r="AD14" s="311"/>
      <c r="AE14" s="312"/>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row>
    <row r="15" spans="1:76" ht="15" customHeight="1" x14ac:dyDescent="0.25">
      <c r="A15" s="55"/>
      <c r="B15" s="316"/>
      <c r="C15" s="316"/>
      <c r="D15" s="317"/>
      <c r="E15" s="306"/>
      <c r="F15" s="305"/>
      <c r="G15" s="305"/>
      <c r="H15" s="305"/>
      <c r="I15" s="305"/>
      <c r="J15" s="102" t="str">
        <f>IF(AND('Mapa final'!$AB$31="Muy Alta",'Mapa final'!$AD$31="Leve"),CONCATENATE("R10C",'Mapa final'!$R$31),"")</f>
        <v/>
      </c>
      <c r="K15" s="41" t="str">
        <f>IF(AND('Mapa final'!$AB$32="Muy Alta",'Mapa final'!$AD$32="Leve"),CONCATENATE("R10C",'Mapa final'!$R$32),"")</f>
        <v/>
      </c>
      <c r="L15" s="103" t="str">
        <f>IF(AND('Mapa final'!$AB$33="Muy Alta",'Mapa final'!$AD$33="Leve"),CONCATENATE("R10C",'Mapa final'!$R$33),"")</f>
        <v/>
      </c>
      <c r="M15" s="102" t="str">
        <f>IF(AND('Mapa final'!$AB$31="Muy Alta",'Mapa final'!$AD$31="Menor"),CONCATENATE("R10C",'Mapa final'!$R$31),"")</f>
        <v/>
      </c>
      <c r="N15" s="41" t="str">
        <f>IF(AND('Mapa final'!$AB$32="Muy Alta",'Mapa final'!$AD$32="Menor"),CONCATENATE("R10C",'Mapa final'!$R$32),"")</f>
        <v/>
      </c>
      <c r="O15" s="103" t="str">
        <f>IF(AND('Mapa final'!$AB$33="Muy Alta",'Mapa final'!$AD$33="Menor"),CONCATENATE("R10C",'Mapa final'!$R$33),"")</f>
        <v/>
      </c>
      <c r="P15" s="102" t="str">
        <f>IF(AND('Mapa final'!$AB$31="Muy Alta",'Mapa final'!$AD$31="Moderado"),CONCATENATE("R10C",'Mapa final'!$R$31),"")</f>
        <v/>
      </c>
      <c r="Q15" s="41" t="str">
        <f>IF(AND('Mapa final'!$AB$32="Muy Alta",'Mapa final'!$AD$32="Moderado"),CONCATENATE("R10C",'Mapa final'!$R$32),"")</f>
        <v/>
      </c>
      <c r="R15" s="103" t="str">
        <f>IF(AND('Mapa final'!$AB$33="Muy Alta",'Mapa final'!$AD$33="Moderado"),CONCATENATE("R10C",'Mapa final'!$R$33),"")</f>
        <v/>
      </c>
      <c r="S15" s="102" t="str">
        <f>IF(AND('Mapa final'!$AB$31="Muy Alta",'Mapa final'!$AD$31="Mayor"),CONCATENATE("R10C",'Mapa final'!$R$31),"")</f>
        <v/>
      </c>
      <c r="T15" s="41" t="str">
        <f>IF(AND('Mapa final'!$AB$32="Muy Alta",'Mapa final'!$AD$32="Mayor"),CONCATENATE("R10C",'Mapa final'!$R$32),"")</f>
        <v/>
      </c>
      <c r="U15" s="103" t="str">
        <f>IF(AND('Mapa final'!$AB$33="Muy Alta",'Mapa final'!$AD$33="Mayor"),CONCATENATE("R10C",'Mapa final'!$R$33),"")</f>
        <v/>
      </c>
      <c r="V15" s="42" t="str">
        <f>IF(AND('Mapa final'!$AB$31="Muy Alta",'Mapa final'!$AD$31="Catastrófico"),CONCATENATE("R10C",'Mapa final'!$R$31),"")</f>
        <v/>
      </c>
      <c r="W15" s="43" t="str">
        <f>IF(AND('Mapa final'!$AB$32="Muy Alta",'Mapa final'!$AD$32="Catastrófico"),CONCATENATE("R10C",'Mapa final'!$R$32),"")</f>
        <v/>
      </c>
      <c r="X15" s="97" t="str">
        <f>IF(AND('Mapa final'!$AB$33="Muy Alta",'Mapa final'!$AD$33="Catastrófico"),CONCATENATE("R10C",'Mapa final'!$R$33),"")</f>
        <v/>
      </c>
      <c r="Y15" s="55"/>
      <c r="Z15" s="310"/>
      <c r="AA15" s="311"/>
      <c r="AB15" s="311"/>
      <c r="AC15" s="311"/>
      <c r="AD15" s="311"/>
      <c r="AE15" s="312"/>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row>
    <row r="16" spans="1:76" ht="15" customHeight="1" x14ac:dyDescent="0.25">
      <c r="A16" s="55"/>
      <c r="B16" s="316"/>
      <c r="C16" s="316"/>
      <c r="D16" s="317"/>
      <c r="E16" s="306"/>
      <c r="F16" s="305"/>
      <c r="G16" s="305"/>
      <c r="H16" s="305"/>
      <c r="I16" s="305"/>
      <c r="J16" s="102" t="str">
        <f>IF(AND('Mapa final'!$AB$34="Muy Alta",'Mapa final'!$AD$34="Leve"),CONCATENATE("R11C",'Mapa final'!$R$34),"")</f>
        <v/>
      </c>
      <c r="K16" s="41" t="str">
        <f>IF(AND('Mapa final'!$AB$35="Muy Alta",'Mapa final'!$AD$35="Leve"),CONCATENATE("R11C",'Mapa final'!$R$35),"")</f>
        <v/>
      </c>
      <c r="L16" s="103" t="str">
        <f>IF(AND('Mapa final'!$AB$36="Muy Alta",'Mapa final'!$AD$36="Leve"),CONCATENATE("R11C",'Mapa final'!$R$36),"")</f>
        <v/>
      </c>
      <c r="M16" s="102" t="str">
        <f>IF(AND('Mapa final'!$AB$34="Muy Alta",'Mapa final'!$AD$34="Menor"),CONCATENATE("R11C",'Mapa final'!$R$34),"")</f>
        <v/>
      </c>
      <c r="N16" s="41" t="str">
        <f>IF(AND('Mapa final'!$AB$35="Muy Alta",'Mapa final'!$AD$35="Menor"),CONCATENATE("R11C",'Mapa final'!$R$35),"")</f>
        <v/>
      </c>
      <c r="O16" s="103" t="str">
        <f>IF(AND('Mapa final'!$AB$36="Muy Alta",'Mapa final'!$AD$36="Menor"),CONCATENATE("R11C",'Mapa final'!$R$36),"")</f>
        <v/>
      </c>
      <c r="P16" s="102" t="str">
        <f>IF(AND('Mapa final'!$AB$34="Muy Alta",'Mapa final'!$AD$34="Moderado"),CONCATENATE("R11C",'Mapa final'!$R$34),"")</f>
        <v/>
      </c>
      <c r="Q16" s="41" t="str">
        <f>IF(AND('Mapa final'!$AB$35="Muy Alta",'Mapa final'!$AD$35="Moderado"),CONCATENATE("R11C",'Mapa final'!$R$35),"")</f>
        <v/>
      </c>
      <c r="R16" s="103" t="str">
        <f>IF(AND('Mapa final'!$AB$36="Muy Alta",'Mapa final'!$AD$36="Moderado"),CONCATENATE("R11C",'Mapa final'!$R$36),"")</f>
        <v/>
      </c>
      <c r="S16" s="102" t="str">
        <f>IF(AND('Mapa final'!$AB$34="Muy Alta",'Mapa final'!$AD$34="Mayor"),CONCATENATE("R11C",'Mapa final'!$R$34),"")</f>
        <v/>
      </c>
      <c r="T16" s="41" t="str">
        <f>IF(AND('Mapa final'!$AB$35="Muy Alta",'Mapa final'!$AD$35="Mayor"),CONCATENATE("R11C",'Mapa final'!$R$35),"")</f>
        <v/>
      </c>
      <c r="U16" s="103" t="str">
        <f>IF(AND('Mapa final'!$AB$36="Muy Alta",'Mapa final'!$AD$36="Mayor"),CONCATENATE("R11C",'Mapa final'!$R$36),"")</f>
        <v/>
      </c>
      <c r="V16" s="42" t="str">
        <f>IF(AND('Mapa final'!$AB$34="Muy Alta",'Mapa final'!$AD$34="Catastrófico"),CONCATENATE("R11C",'Mapa final'!$R$34),"")</f>
        <v/>
      </c>
      <c r="W16" s="43" t="str">
        <f>IF(AND('Mapa final'!$AB$35="Muy Alta",'Mapa final'!$AD$35="Catastrófico"),CONCATENATE("R11C",'Mapa final'!$R$35),"")</f>
        <v/>
      </c>
      <c r="X16" s="97" t="str">
        <f>IF(AND('Mapa final'!$AB$36="Muy Alta",'Mapa final'!$AD$36="Catastrófico"),CONCATENATE("R11C",'Mapa final'!$R$36),"")</f>
        <v/>
      </c>
      <c r="Y16" s="55"/>
      <c r="Z16" s="310"/>
      <c r="AA16" s="311"/>
      <c r="AB16" s="311"/>
      <c r="AC16" s="311"/>
      <c r="AD16" s="311"/>
      <c r="AE16" s="312"/>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row>
    <row r="17" spans="1:61" ht="15" customHeight="1" x14ac:dyDescent="0.25">
      <c r="A17" s="55"/>
      <c r="B17" s="316"/>
      <c r="C17" s="316"/>
      <c r="D17" s="317"/>
      <c r="E17" s="306"/>
      <c r="F17" s="305"/>
      <c r="G17" s="305"/>
      <c r="H17" s="305"/>
      <c r="I17" s="305"/>
      <c r="J17" s="102" t="str">
        <f>IF(AND('Mapa final'!$AB$37="Muy Alta",'Mapa final'!$AD$37="Leve"),CONCATENATE("R12C",'Mapa final'!$R$37),"")</f>
        <v/>
      </c>
      <c r="K17" s="41" t="str">
        <f>IF(AND('Mapa final'!$AB$38="Muy Alta",'Mapa final'!$AD$38="Leve"),CONCATENATE("R12C",'Mapa final'!$R$38),"")</f>
        <v/>
      </c>
      <c r="L17" s="103" t="str">
        <f>IF(AND('Mapa final'!$AB$39="Muy Alta",'Mapa final'!$AD$39="Leve"),CONCATENATE("R12C",'Mapa final'!$R$39),"")</f>
        <v/>
      </c>
      <c r="M17" s="102" t="str">
        <f>IF(AND('Mapa final'!$AB$37="Muy Alta",'Mapa final'!$AD$37="Menor"),CONCATENATE("R12C",'Mapa final'!$R$37),"")</f>
        <v/>
      </c>
      <c r="N17" s="41" t="str">
        <f>IF(AND('Mapa final'!$AB$38="Muy Alta",'Mapa final'!$AD$38="Menor"),CONCATENATE("R12C",'Mapa final'!$R$38),"")</f>
        <v/>
      </c>
      <c r="O17" s="103" t="str">
        <f>IF(AND('Mapa final'!$AB$39="Muy Alta",'Mapa final'!$AD$39="Menor"),CONCATENATE("R12C",'Mapa final'!$R$39),"")</f>
        <v/>
      </c>
      <c r="P17" s="102" t="str">
        <f>IF(AND('Mapa final'!$AB$37="Muy Alta",'Mapa final'!$AD$37="Moderado"),CONCATENATE("R12C",'Mapa final'!$R$37),"")</f>
        <v/>
      </c>
      <c r="Q17" s="41" t="str">
        <f>IF(AND('Mapa final'!$AB$38="Muy Alta",'Mapa final'!$AD$38="Moderado"),CONCATENATE("R12C",'Mapa final'!$R$38),"")</f>
        <v/>
      </c>
      <c r="R17" s="103" t="str">
        <f>IF(AND('Mapa final'!$AB$39="Muy Alta",'Mapa final'!$AD$39="Moderado"),CONCATENATE("R12C",'Mapa final'!$R$39),"")</f>
        <v/>
      </c>
      <c r="S17" s="102" t="str">
        <f>IF(AND('Mapa final'!$AB$37="Muy Alta",'Mapa final'!$AD$37="Mayor"),CONCATENATE("R12C",'Mapa final'!$R$37),"")</f>
        <v/>
      </c>
      <c r="T17" s="41" t="str">
        <f>IF(AND('Mapa final'!$AB$38="Muy Alta",'Mapa final'!$AD$38="Mayor"),CONCATENATE("R12C",'Mapa final'!$R$38),"")</f>
        <v/>
      </c>
      <c r="U17" s="103" t="str">
        <f>IF(AND('Mapa final'!$AB$39="Muy Alta",'Mapa final'!$AD$39="Mayor"),CONCATENATE("R12C",'Mapa final'!$R$39),"")</f>
        <v/>
      </c>
      <c r="V17" s="42" t="str">
        <f>IF(AND('Mapa final'!$AB$37="Muy Alta",'Mapa final'!$AD$37="Catastrófico"),CONCATENATE("R12C",'Mapa final'!$R$37),"")</f>
        <v/>
      </c>
      <c r="W17" s="43" t="str">
        <f>IF(AND('Mapa final'!$AB$38="Muy Alta",'Mapa final'!$AD$38="Catastrófico"),CONCATENATE("R12C",'Mapa final'!$R$38),"")</f>
        <v/>
      </c>
      <c r="X17" s="97" t="str">
        <f>IF(AND('Mapa final'!$AB$39="Muy Alta",'Mapa final'!$AD$39="Catastrófico"),CONCATENATE("R12C",'Mapa final'!$R$39),"")</f>
        <v/>
      </c>
      <c r="Y17" s="55"/>
      <c r="Z17" s="310"/>
      <c r="AA17" s="311"/>
      <c r="AB17" s="311"/>
      <c r="AC17" s="311"/>
      <c r="AD17" s="311"/>
      <c r="AE17" s="312"/>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row>
    <row r="18" spans="1:61" ht="15" customHeight="1" x14ac:dyDescent="0.25">
      <c r="A18" s="55"/>
      <c r="B18" s="316"/>
      <c r="C18" s="316"/>
      <c r="D18" s="317"/>
      <c r="E18" s="306"/>
      <c r="F18" s="305"/>
      <c r="G18" s="305"/>
      <c r="H18" s="305"/>
      <c r="I18" s="305"/>
      <c r="J18" s="102" t="str">
        <f>IF(AND('Mapa final'!$AB$40="Muy Alta",'Mapa final'!$AD$40="Leve"),CONCATENATE("R13C",'Mapa final'!$R$40),"")</f>
        <v/>
      </c>
      <c r="K18" s="41" t="str">
        <f>IF(AND('Mapa final'!$AB$41="Muy Alta",'Mapa final'!$AD$41="Leve"),CONCATENATE("R13C",'Mapa final'!$R$41),"")</f>
        <v/>
      </c>
      <c r="L18" s="103" t="str">
        <f>IF(AND('Mapa final'!$AB$42="Muy Alta",'Mapa final'!$AD$42="Leve"),CONCATENATE("R13C",'Mapa final'!$R$42),"")</f>
        <v/>
      </c>
      <c r="M18" s="102" t="str">
        <f>IF(AND('Mapa final'!$AB$40="Muy Alta",'Mapa final'!$AD$40="Menor"),CONCATENATE("R13C",'Mapa final'!$R$40),"")</f>
        <v/>
      </c>
      <c r="N18" s="41" t="str">
        <f>IF(AND('Mapa final'!$AB$41="Muy Alta",'Mapa final'!$AD$41="Menor"),CONCATENATE("R13C",'Mapa final'!$R$41),"")</f>
        <v/>
      </c>
      <c r="O18" s="103" t="str">
        <f>IF(AND('Mapa final'!$AB$42="Muy Alta",'Mapa final'!$AD$42="Menor"),CONCATENATE("R13C",'Mapa final'!$R$42),"")</f>
        <v/>
      </c>
      <c r="P18" s="102" t="str">
        <f>IF(AND('Mapa final'!$AB$40="Muy Alta",'Mapa final'!$AD$40="Moderado"),CONCATENATE("R13C",'Mapa final'!$R$40),"")</f>
        <v/>
      </c>
      <c r="Q18" s="41" t="str">
        <f>IF(AND('Mapa final'!$AB$41="Muy Alta",'Mapa final'!$AD$41="Moderado"),CONCATENATE("R13C",'Mapa final'!$R$41),"")</f>
        <v/>
      </c>
      <c r="R18" s="103" t="str">
        <f>IF(AND('Mapa final'!$AB$42="Muy Alta",'Mapa final'!$AD$42="Moderado"),CONCATENATE("R13C",'Mapa final'!$R$42),"")</f>
        <v/>
      </c>
      <c r="S18" s="102" t="str">
        <f>IF(AND('Mapa final'!$AB$40="Muy Alta",'Mapa final'!$AD$40="Mayor"),CONCATENATE("R13C",'Mapa final'!$R$40),"")</f>
        <v/>
      </c>
      <c r="T18" s="41" t="str">
        <f>IF(AND('Mapa final'!$AB$41="Muy Alta",'Mapa final'!$AD$41="Mayor"),CONCATENATE("R13C",'Mapa final'!$R$41),"")</f>
        <v/>
      </c>
      <c r="U18" s="103" t="str">
        <f>IF(AND('Mapa final'!$AB$42="Muy Alta",'Mapa final'!$AD$42="Mayor"),CONCATENATE("R13C",'Mapa final'!$R$42),"")</f>
        <v/>
      </c>
      <c r="V18" s="42" t="str">
        <f>IF(AND('Mapa final'!$AB$40="Muy Alta",'Mapa final'!$AD$40="Catastrófico"),CONCATENATE("R13C",'Mapa final'!$R$40),"")</f>
        <v/>
      </c>
      <c r="W18" s="43" t="str">
        <f>IF(AND('Mapa final'!$AB$41="Muy Alta",'Mapa final'!$AD$41="Catastrófico"),CONCATENATE("R13C",'Mapa final'!$R$41),"")</f>
        <v/>
      </c>
      <c r="X18" s="97" t="str">
        <f>IF(AND('Mapa final'!$AB$42="Muy Alta",'Mapa final'!$AD$42="Catastrófico"),CONCATENATE("R13C",'Mapa final'!$R$42),"")</f>
        <v/>
      </c>
      <c r="Y18" s="55"/>
      <c r="Z18" s="310"/>
      <c r="AA18" s="311"/>
      <c r="AB18" s="311"/>
      <c r="AC18" s="311"/>
      <c r="AD18" s="311"/>
      <c r="AE18" s="312"/>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row>
    <row r="19" spans="1:61" ht="15" customHeight="1" x14ac:dyDescent="0.25">
      <c r="A19" s="55"/>
      <c r="B19" s="316"/>
      <c r="C19" s="316"/>
      <c r="D19" s="317"/>
      <c r="E19" s="306"/>
      <c r="F19" s="305"/>
      <c r="G19" s="305"/>
      <c r="H19" s="305"/>
      <c r="I19" s="305"/>
      <c r="J19" s="102" t="str">
        <f>IF(AND('Mapa final'!$AB$43="Muy Alta",'Mapa final'!$AD$43="Leve"),CONCATENATE("R14C",'Mapa final'!$R$43),"")</f>
        <v/>
      </c>
      <c r="K19" s="41" t="str">
        <f>IF(AND('Mapa final'!$AB$44="Muy Alta",'Mapa final'!$AD$44="Leve"),CONCATENATE("R14C",'Mapa final'!$R$44),"")</f>
        <v/>
      </c>
      <c r="L19" s="103" t="str">
        <f>IF(AND('Mapa final'!$AB$45="Muy Alta",'Mapa final'!$AD$45="Leve"),CONCATENATE("R14C",'Mapa final'!$R$45),"")</f>
        <v/>
      </c>
      <c r="M19" s="102" t="str">
        <f>IF(AND('Mapa final'!$AB$43="Muy Alta",'Mapa final'!$AD$43="Menor"),CONCATENATE("R14C",'Mapa final'!$R$43),"")</f>
        <v/>
      </c>
      <c r="N19" s="41" t="str">
        <f>IF(AND('Mapa final'!$AB$44="Muy Alta",'Mapa final'!$AD$44="Menor"),CONCATENATE("R14C",'Mapa final'!$R$44),"")</f>
        <v/>
      </c>
      <c r="O19" s="103" t="str">
        <f>IF(AND('Mapa final'!$AB$45="Muy Alta",'Mapa final'!$AD$45="Menor"),CONCATENATE("R14C",'Mapa final'!$R$45),"")</f>
        <v/>
      </c>
      <c r="P19" s="102" t="str">
        <f>IF(AND('Mapa final'!$AB$43="Muy Alta",'Mapa final'!$AD$43="Moderado"),CONCATENATE("R14C",'Mapa final'!$R$43),"")</f>
        <v/>
      </c>
      <c r="Q19" s="41" t="str">
        <f>IF(AND('Mapa final'!$AB$44="Muy Alta",'Mapa final'!$AD$44="Moderado"),CONCATENATE("R14C",'Mapa final'!$R$44),"")</f>
        <v/>
      </c>
      <c r="R19" s="103" t="str">
        <f>IF(AND('Mapa final'!$AB$45="Muy Alta",'Mapa final'!$AD$45="Moderado"),CONCATENATE("R14C",'Mapa final'!$R$45),"")</f>
        <v/>
      </c>
      <c r="S19" s="102" t="str">
        <f>IF(AND('Mapa final'!$AB$43="Muy Alta",'Mapa final'!$AD$43="Mayor"),CONCATENATE("R14C",'Mapa final'!$R$43),"")</f>
        <v/>
      </c>
      <c r="T19" s="41" t="str">
        <f>IF(AND('Mapa final'!$AB$44="Muy Alta",'Mapa final'!$AD$44="Mayor"),CONCATENATE("R14C",'Mapa final'!$R$44),"")</f>
        <v/>
      </c>
      <c r="U19" s="103" t="str">
        <f>IF(AND('Mapa final'!$AB$45="Muy Alta",'Mapa final'!$AD$45="Mayor"),CONCATENATE("R14C",'Mapa final'!$R$45),"")</f>
        <v/>
      </c>
      <c r="V19" s="42" t="str">
        <f>IF(AND('Mapa final'!$AB$43="Muy Alta",'Mapa final'!$AD$43="Catastrófico"),CONCATENATE("R14C",'Mapa final'!$R$43),"")</f>
        <v/>
      </c>
      <c r="W19" s="43" t="str">
        <f>IF(AND('Mapa final'!$AB$44="Muy Alta",'Mapa final'!$AD$44="Catastrófico"),CONCATENATE("R14C",'Mapa final'!$R$44),"")</f>
        <v/>
      </c>
      <c r="X19" s="97" t="str">
        <f>IF(AND('Mapa final'!$AB$45="Muy Alta",'Mapa final'!$AD$45="Catastrófico"),CONCATENATE("R14C",'Mapa final'!$R$45),"")</f>
        <v/>
      </c>
      <c r="Y19" s="55"/>
      <c r="Z19" s="310"/>
      <c r="AA19" s="311"/>
      <c r="AB19" s="311"/>
      <c r="AC19" s="311"/>
      <c r="AD19" s="311"/>
      <c r="AE19" s="312"/>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row>
    <row r="20" spans="1:61" ht="15" customHeight="1" x14ac:dyDescent="0.25">
      <c r="A20" s="55"/>
      <c r="B20" s="316"/>
      <c r="C20" s="316"/>
      <c r="D20" s="317"/>
      <c r="E20" s="306"/>
      <c r="F20" s="305"/>
      <c r="G20" s="305"/>
      <c r="H20" s="305"/>
      <c r="I20" s="305"/>
      <c r="J20" s="102" t="str">
        <f>IF(AND('Mapa final'!$AB$46="Muy Alta",'Mapa final'!$AD$46="Leve"),CONCATENATE("R15C",'Mapa final'!$R$46),"")</f>
        <v/>
      </c>
      <c r="K20" s="41" t="str">
        <f>IF(AND('Mapa final'!$AB$47="Muy Alta",'Mapa final'!$AD$47="Leve"),CONCATENATE("R15C",'Mapa final'!$R$47),"")</f>
        <v/>
      </c>
      <c r="L20" s="103" t="str">
        <f>IF(AND('Mapa final'!$AB$48="Muy Alta",'Mapa final'!$AD$48="Leve"),CONCATENATE("R15C",'Mapa final'!$R$48),"")</f>
        <v/>
      </c>
      <c r="M20" s="102" t="str">
        <f>IF(AND('Mapa final'!$AB$46="Muy Alta",'Mapa final'!$AD$46="Menor"),CONCATENATE("R15C",'Mapa final'!$R$46),"")</f>
        <v/>
      </c>
      <c r="N20" s="41" t="str">
        <f>IF(AND('Mapa final'!$AB$47="Muy Alta",'Mapa final'!$AD$47="Menor"),CONCATENATE("R15C",'Mapa final'!$R$47),"")</f>
        <v/>
      </c>
      <c r="O20" s="103" t="str">
        <f>IF(AND('Mapa final'!$AB$48="Muy Alta",'Mapa final'!$AD$48="Menor"),CONCATENATE("R15C",'Mapa final'!$R$48),"")</f>
        <v/>
      </c>
      <c r="P20" s="102" t="str">
        <f>IF(AND('Mapa final'!$AB$46="Muy Alta",'Mapa final'!$AD$46="Moderado"),CONCATENATE("R15C",'Mapa final'!$R$46),"")</f>
        <v/>
      </c>
      <c r="Q20" s="41" t="str">
        <f>IF(AND('Mapa final'!$AB$47="Muy Alta",'Mapa final'!$AD$47="Moderado"),CONCATENATE("R15C",'Mapa final'!$R$47),"")</f>
        <v/>
      </c>
      <c r="R20" s="103" t="str">
        <f>IF(AND('Mapa final'!$AB$48="Muy Alta",'Mapa final'!$AD$48="Moderado"),CONCATENATE("R15C",'Mapa final'!$R$48),"")</f>
        <v/>
      </c>
      <c r="S20" s="102" t="str">
        <f>IF(AND('Mapa final'!$AB$46="Muy Alta",'Mapa final'!$AD$46="Mayor"),CONCATENATE("R15C",'Mapa final'!$R$46),"")</f>
        <v/>
      </c>
      <c r="T20" s="41" t="str">
        <f>IF(AND('Mapa final'!$AB$47="Muy Alta",'Mapa final'!$AD$47="Mayor"),CONCATENATE("R15C",'Mapa final'!$R$47),"")</f>
        <v/>
      </c>
      <c r="U20" s="103" t="str">
        <f>IF(AND('Mapa final'!$AB$48="Muy Alta",'Mapa final'!$AD$48="Mayor"),CONCATENATE("R15C",'Mapa final'!$R$48),"")</f>
        <v/>
      </c>
      <c r="V20" s="42" t="str">
        <f>IF(AND('Mapa final'!$AB$46="Muy Alta",'Mapa final'!$AD$46="Catastrófico"),CONCATENATE("R15C",'Mapa final'!$R$46),"")</f>
        <v/>
      </c>
      <c r="W20" s="43" t="str">
        <f>IF(AND('Mapa final'!$AB$47="Muy Alta",'Mapa final'!$AD$47="Catastrófico"),CONCATENATE("R15C",'Mapa final'!$R$47),"")</f>
        <v/>
      </c>
      <c r="X20" s="97" t="str">
        <f>IF(AND('Mapa final'!$AB$48="Muy Alta",'Mapa final'!$AD$48="Catastrófico"),CONCATENATE("R15C",'Mapa final'!$R$48),"")</f>
        <v/>
      </c>
      <c r="Y20" s="55"/>
      <c r="Z20" s="310"/>
      <c r="AA20" s="311"/>
      <c r="AB20" s="311"/>
      <c r="AC20" s="311"/>
      <c r="AD20" s="311"/>
      <c r="AE20" s="312"/>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row>
    <row r="21" spans="1:61" ht="15" customHeight="1" x14ac:dyDescent="0.25">
      <c r="A21" s="55"/>
      <c r="B21" s="316"/>
      <c r="C21" s="316"/>
      <c r="D21" s="317"/>
      <c r="E21" s="306"/>
      <c r="F21" s="305"/>
      <c r="G21" s="305"/>
      <c r="H21" s="305"/>
      <c r="I21" s="305"/>
      <c r="J21" s="102" t="str">
        <f>IF(AND('Mapa final'!$AB$49="Muy Alta",'Mapa final'!$AD$49="Leve"),CONCATENATE("R16C",'Mapa final'!$R$49),"")</f>
        <v/>
      </c>
      <c r="K21" s="41" t="str">
        <f>IF(AND('Mapa final'!$AB$50="Muy Alta",'Mapa final'!$AD$50="Leve"),CONCATENATE("R16C",'Mapa final'!$R$50),"")</f>
        <v/>
      </c>
      <c r="L21" s="103" t="str">
        <f>IF(AND('Mapa final'!$AB$51="Muy Alta",'Mapa final'!$AD$51="Leve"),CONCATENATE("R16C",'Mapa final'!$R$51),"")</f>
        <v/>
      </c>
      <c r="M21" s="102" t="str">
        <f>IF(AND('Mapa final'!$AB$49="Muy Alta",'Mapa final'!$AD$49="Menor"),CONCATENATE("R16C",'Mapa final'!$R$49),"")</f>
        <v/>
      </c>
      <c r="N21" s="41" t="str">
        <f>IF(AND('Mapa final'!$AB$50="Muy Alta",'Mapa final'!$AD$50="Menor"),CONCATENATE("R16C",'Mapa final'!$R$50),"")</f>
        <v/>
      </c>
      <c r="O21" s="103" t="str">
        <f>IF(AND('Mapa final'!$AB$51="Muy Alta",'Mapa final'!$AD$51="Menor"),CONCATENATE("R16C",'Mapa final'!$R$51),"")</f>
        <v/>
      </c>
      <c r="P21" s="102" t="str">
        <f>IF(AND('Mapa final'!$AB$49="Muy Alta",'Mapa final'!$AD$49="Moderado"),CONCATENATE("R16C",'Mapa final'!$R$49),"")</f>
        <v/>
      </c>
      <c r="Q21" s="41" t="str">
        <f>IF(AND('Mapa final'!$AB$50="Muy Alta",'Mapa final'!$AD$50="Moderado"),CONCATENATE("R16C",'Mapa final'!$R$50),"")</f>
        <v/>
      </c>
      <c r="R21" s="103" t="str">
        <f>IF(AND('Mapa final'!$AB$51="Muy Alta",'Mapa final'!$AD$51="Moderado"),CONCATENATE("R16C",'Mapa final'!$R$51),"")</f>
        <v/>
      </c>
      <c r="S21" s="102" t="str">
        <f>IF(AND('Mapa final'!$AB$49="Muy Alta",'Mapa final'!$AD$49="Mayor"),CONCATENATE("R16C",'Mapa final'!$R$49),"")</f>
        <v/>
      </c>
      <c r="T21" s="41" t="str">
        <f>IF(AND('Mapa final'!$AB$50="Muy Alta",'Mapa final'!$AD$50="Mayor"),CONCATENATE("R16C",'Mapa final'!$R$50),"")</f>
        <v/>
      </c>
      <c r="U21" s="103" t="str">
        <f>IF(AND('Mapa final'!$AB$51="Muy Alta",'Mapa final'!$AD$51="Mayor"),CONCATENATE("R16C",'Mapa final'!$R$51),"")</f>
        <v/>
      </c>
      <c r="V21" s="42" t="str">
        <f>IF(AND('Mapa final'!$AB$49="Muy Alta",'Mapa final'!$AD$49="Catastrófico"),CONCATENATE("R16C",'Mapa final'!$R$49),"")</f>
        <v/>
      </c>
      <c r="W21" s="43" t="str">
        <f>IF(AND('Mapa final'!$AB$50="Muy Alta",'Mapa final'!$AD$50="Catastrófico"),CONCATENATE("R16C",'Mapa final'!$R$50),"")</f>
        <v/>
      </c>
      <c r="X21" s="97" t="str">
        <f>IF(AND('Mapa final'!$AB$51="Muy Alta",'Mapa final'!$AD$51="Catastrófico"),CONCATENATE("R16C",'Mapa final'!$R$51),"")</f>
        <v/>
      </c>
      <c r="Y21" s="55"/>
      <c r="Z21" s="310"/>
      <c r="AA21" s="311"/>
      <c r="AB21" s="311"/>
      <c r="AC21" s="311"/>
      <c r="AD21" s="311"/>
      <c r="AE21" s="312"/>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5"/>
      <c r="BH21" s="55"/>
      <c r="BI21" s="55"/>
    </row>
    <row r="22" spans="1:61" ht="15" customHeight="1" x14ac:dyDescent="0.25">
      <c r="A22" s="55"/>
      <c r="B22" s="316"/>
      <c r="C22" s="316"/>
      <c r="D22" s="317"/>
      <c r="E22" s="306"/>
      <c r="F22" s="305"/>
      <c r="G22" s="305"/>
      <c r="H22" s="305"/>
      <c r="I22" s="305"/>
      <c r="J22" s="102" t="str">
        <f>IF(AND('Mapa final'!$AB$52="Muy Alta",'Mapa final'!$AD$52="Leve"),CONCATENATE("R17C",'Mapa final'!$R$52),"")</f>
        <v/>
      </c>
      <c r="K22" s="41" t="str">
        <f>IF(AND('Mapa final'!$AB$53="Muy Alta",'Mapa final'!$AD$53="Leve"),CONCATENATE("R17C",'Mapa final'!$R$53),"")</f>
        <v/>
      </c>
      <c r="L22" s="103" t="str">
        <f>IF(AND('Mapa final'!$AB$54="Muy Alta",'Mapa final'!$AD$54="Leve"),CONCATENATE("R17C",'Mapa final'!$R$54),"")</f>
        <v/>
      </c>
      <c r="M22" s="102" t="str">
        <f>IF(AND('Mapa final'!$AB$52="Muy Alta",'Mapa final'!$AD$52="Menor"),CONCATENATE("R17C",'Mapa final'!$R$52),"")</f>
        <v/>
      </c>
      <c r="N22" s="41" t="str">
        <f>IF(AND('Mapa final'!$AB$53="Muy Alta",'Mapa final'!$AD$53="Menor"),CONCATENATE("R17C",'Mapa final'!$R$53),"")</f>
        <v/>
      </c>
      <c r="O22" s="103" t="str">
        <f>IF(AND('Mapa final'!$AB$54="Muy Alta",'Mapa final'!$AD$54="Menor"),CONCATENATE("R17C",'Mapa final'!$R$54),"")</f>
        <v/>
      </c>
      <c r="P22" s="102" t="str">
        <f>IF(AND('Mapa final'!$AB$52="Muy Alta",'Mapa final'!$AD$52="Moderado"),CONCATENATE("R17C",'Mapa final'!$R$52),"")</f>
        <v/>
      </c>
      <c r="Q22" s="41" t="str">
        <f>IF(AND('Mapa final'!$AB$53="Muy Alta",'Mapa final'!$AD$53="Moderado"),CONCATENATE("R17C",'Mapa final'!$R$53),"")</f>
        <v/>
      </c>
      <c r="R22" s="103" t="str">
        <f>IF(AND('Mapa final'!$AB$54="Muy Alta",'Mapa final'!$AD$54="Moderado"),CONCATENATE("R17C",'Mapa final'!$R$54),"")</f>
        <v/>
      </c>
      <c r="S22" s="102" t="str">
        <f>IF(AND('Mapa final'!$AB$52="Muy Alta",'Mapa final'!$AD$52="Mayor"),CONCATENATE("R17C",'Mapa final'!$R$52),"")</f>
        <v/>
      </c>
      <c r="T22" s="41" t="str">
        <f>IF(AND('Mapa final'!$AB$53="Muy Alta",'Mapa final'!$AD$53="Mayor"),CONCATENATE("R17C",'Mapa final'!$R$53),"")</f>
        <v/>
      </c>
      <c r="U22" s="103" t="str">
        <f>IF(AND('Mapa final'!$AB$54="Muy Alta",'Mapa final'!$AD$54="Mayor"),CONCATENATE("R17C",'Mapa final'!$R$54),"")</f>
        <v/>
      </c>
      <c r="V22" s="42" t="str">
        <f>IF(AND('Mapa final'!$AB$52="Muy Alta",'Mapa final'!$AD$52="Catastrófico"),CONCATENATE("R17C",'Mapa final'!$R$52),"")</f>
        <v/>
      </c>
      <c r="W22" s="43" t="str">
        <f>IF(AND('Mapa final'!$AB$53="Muy Alta",'Mapa final'!$AD$53="Catastrófico"),CONCATENATE("R17C",'Mapa final'!$R$53),"")</f>
        <v/>
      </c>
      <c r="X22" s="97" t="str">
        <f>IF(AND('Mapa final'!$AB$54="Muy Alta",'Mapa final'!$AD$54="Catastrófico"),CONCATENATE("R17C",'Mapa final'!$R$54),"")</f>
        <v/>
      </c>
      <c r="Y22" s="55"/>
      <c r="Z22" s="310"/>
      <c r="AA22" s="311"/>
      <c r="AB22" s="311"/>
      <c r="AC22" s="311"/>
      <c r="AD22" s="311"/>
      <c r="AE22" s="312"/>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row>
    <row r="23" spans="1:61" ht="15" customHeight="1" x14ac:dyDescent="0.25">
      <c r="A23" s="55"/>
      <c r="B23" s="316"/>
      <c r="C23" s="316"/>
      <c r="D23" s="317"/>
      <c r="E23" s="306"/>
      <c r="F23" s="305"/>
      <c r="G23" s="305"/>
      <c r="H23" s="305"/>
      <c r="I23" s="305"/>
      <c r="J23" s="102" t="str">
        <f>IF(AND('Mapa final'!$AB$55="Muy Alta",'Mapa final'!$AD$55="Leve"),CONCATENATE("R18C",'Mapa final'!$R$55),"")</f>
        <v/>
      </c>
      <c r="K23" s="41" t="str">
        <f>IF(AND('Mapa final'!$AB$56="Muy Alta",'Mapa final'!$AD$56="Leve"),CONCATENATE("R18C",'Mapa final'!$R$56),"")</f>
        <v/>
      </c>
      <c r="L23" s="103" t="str">
        <f>IF(AND('Mapa final'!$AB$57="Muy Alta",'Mapa final'!$AD$57="Leve"),CONCATENATE("R18C",'Mapa final'!$R$57),"")</f>
        <v/>
      </c>
      <c r="M23" s="102" t="str">
        <f>IF(AND('Mapa final'!$AB$55="Muy Alta",'Mapa final'!$AD$55="Menor"),CONCATENATE("R18C",'Mapa final'!$R$55),"")</f>
        <v/>
      </c>
      <c r="N23" s="41" t="str">
        <f>IF(AND('Mapa final'!$AB$56="Muy Alta",'Mapa final'!$AD$56="Menor"),CONCATENATE("R18C",'Mapa final'!$R$56),"")</f>
        <v/>
      </c>
      <c r="O23" s="103" t="str">
        <f>IF(AND('Mapa final'!$AB$57="Muy Alta",'Mapa final'!$AD$57="Menor"),CONCATENATE("R18C",'Mapa final'!$R$57),"")</f>
        <v/>
      </c>
      <c r="P23" s="102" t="str">
        <f>IF(AND('Mapa final'!$AB$55="Muy Alta",'Mapa final'!$AD$55="Moderado"),CONCATENATE("R18C",'Mapa final'!$R$55),"")</f>
        <v/>
      </c>
      <c r="Q23" s="41" t="str">
        <f>IF(AND('Mapa final'!$AB$56="Muy Alta",'Mapa final'!$AD$56="Moderado"),CONCATENATE("R18C",'Mapa final'!$R$56),"")</f>
        <v/>
      </c>
      <c r="R23" s="103" t="str">
        <f>IF(AND('Mapa final'!$AB$57="Muy Alta",'Mapa final'!$AD$57="Moderado"),CONCATENATE("R18C",'Mapa final'!$R$57),"")</f>
        <v/>
      </c>
      <c r="S23" s="102" t="str">
        <f>IF(AND('Mapa final'!$AB$55="Muy Alta",'Mapa final'!$AD$55="Mayor"),CONCATENATE("R18C",'Mapa final'!$R$55),"")</f>
        <v/>
      </c>
      <c r="T23" s="41" t="str">
        <f>IF(AND('Mapa final'!$AB$56="Muy Alta",'Mapa final'!$AD$56="Mayor"),CONCATENATE("R18C",'Mapa final'!$R$56),"")</f>
        <v/>
      </c>
      <c r="U23" s="103" t="str">
        <f>IF(AND('Mapa final'!$AB$57="Muy Alta",'Mapa final'!$AD$57="Mayor"),CONCATENATE("R18C",'Mapa final'!$R$57),"")</f>
        <v/>
      </c>
      <c r="V23" s="42" t="str">
        <f>IF(AND('Mapa final'!$AB$55="Muy Alta",'Mapa final'!$AD$55="Catastrófico"),CONCATENATE("R18C",'Mapa final'!$R$55),"")</f>
        <v/>
      </c>
      <c r="W23" s="43" t="str">
        <f>IF(AND('Mapa final'!$AB$56="Muy Alta",'Mapa final'!$AD$56="Catastrófico"),CONCATENATE("R18C",'Mapa final'!$R$56),"")</f>
        <v/>
      </c>
      <c r="X23" s="97" t="str">
        <f>IF(AND('Mapa final'!$AB$57="Muy Alta",'Mapa final'!$AD$57="Catastrófico"),CONCATENATE("R18C",'Mapa final'!$R$57),"")</f>
        <v/>
      </c>
      <c r="Y23" s="55"/>
      <c r="Z23" s="310"/>
      <c r="AA23" s="311"/>
      <c r="AB23" s="311"/>
      <c r="AC23" s="311"/>
      <c r="AD23" s="311"/>
      <c r="AE23" s="312"/>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55"/>
      <c r="BG23" s="55"/>
      <c r="BH23" s="55"/>
      <c r="BI23" s="55"/>
    </row>
    <row r="24" spans="1:61" ht="15" customHeight="1" x14ac:dyDescent="0.25">
      <c r="A24" s="55"/>
      <c r="B24" s="316"/>
      <c r="C24" s="316"/>
      <c r="D24" s="317"/>
      <c r="E24" s="306"/>
      <c r="F24" s="305"/>
      <c r="G24" s="305"/>
      <c r="H24" s="305"/>
      <c r="I24" s="305"/>
      <c r="J24" s="102" t="str">
        <f>IF(AND('Mapa final'!$AB$58="Muy Alta",'Mapa final'!$AD$58="Leve"),CONCATENATE("R19C",'Mapa final'!$R$58),"")</f>
        <v/>
      </c>
      <c r="K24" s="41" t="str">
        <f>IF(AND('Mapa final'!$AB$59="Muy Alta",'Mapa final'!$AD$59="Leve"),CONCATENATE("R19C",'Mapa final'!$R$59),"")</f>
        <v/>
      </c>
      <c r="L24" s="103" t="str">
        <f>IF(AND('Mapa final'!$AB$60="Muy Alta",'Mapa final'!$AD$60="Leve"),CONCATENATE("R19C",'Mapa final'!$R$60),"")</f>
        <v/>
      </c>
      <c r="M24" s="102" t="str">
        <f>IF(AND('Mapa final'!$AB$58="Muy Alta",'Mapa final'!$AD$58="Menor"),CONCATENATE("R19C",'Mapa final'!$R$58),"")</f>
        <v/>
      </c>
      <c r="N24" s="41" t="str">
        <f>IF(AND('Mapa final'!$AB$59="Muy Alta",'Mapa final'!$AD$59="Menor"),CONCATENATE("R19C",'Mapa final'!$R$59),"")</f>
        <v/>
      </c>
      <c r="O24" s="103" t="str">
        <f>IF(AND('Mapa final'!$AB$60="Muy Alta",'Mapa final'!$AD$60="Menor"),CONCATENATE("R19C",'Mapa final'!$R$60),"")</f>
        <v/>
      </c>
      <c r="P24" s="102" t="str">
        <f>IF(AND('Mapa final'!$AB$58="Muy Alta",'Mapa final'!$AD$58="Moderado"),CONCATENATE("R19C",'Mapa final'!$R$58),"")</f>
        <v/>
      </c>
      <c r="Q24" s="41" t="str">
        <f>IF(AND('Mapa final'!$AB$59="Muy Alta",'Mapa final'!$AD$59="Moderado"),CONCATENATE("R19C",'Mapa final'!$R$59),"")</f>
        <v/>
      </c>
      <c r="R24" s="103" t="str">
        <f>IF(AND('Mapa final'!$AB$60="Muy Alta",'Mapa final'!$AD$60="Moderado"),CONCATENATE("R19C",'Mapa final'!$R$60),"")</f>
        <v/>
      </c>
      <c r="S24" s="102" t="str">
        <f>IF(AND('Mapa final'!$AB$58="Muy Alta",'Mapa final'!$AD$58="Mayor"),CONCATENATE("R19C",'Mapa final'!$R$58),"")</f>
        <v/>
      </c>
      <c r="T24" s="41" t="str">
        <f>IF(AND('Mapa final'!$AB$59="Muy Alta",'Mapa final'!$AD$59="Mayor"),CONCATENATE("R19C",'Mapa final'!$R$59),"")</f>
        <v/>
      </c>
      <c r="U24" s="103" t="str">
        <f>IF(AND('Mapa final'!$AB$60="Muy Alta",'Mapa final'!$AD$60="Mayor"),CONCATENATE("R19C",'Mapa final'!$R$60),"")</f>
        <v/>
      </c>
      <c r="V24" s="42" t="str">
        <f>IF(AND('Mapa final'!$AB$58="Muy Alta",'Mapa final'!$AD$58="Catastrófico"),CONCATENATE("R19C",'Mapa final'!$R$58),"")</f>
        <v/>
      </c>
      <c r="W24" s="43" t="str">
        <f>IF(AND('Mapa final'!$AB$59="Muy Alta",'Mapa final'!$AD$59="Catastrófico"),CONCATENATE("R19C",'Mapa final'!$R$59),"")</f>
        <v/>
      </c>
      <c r="X24" s="97" t="str">
        <f>IF(AND('Mapa final'!$AB$60="Muy Alta",'Mapa final'!$AD$60="Catastrófico"),CONCATENATE("R19C",'Mapa final'!$R$60),"")</f>
        <v/>
      </c>
      <c r="Y24" s="55"/>
      <c r="Z24" s="310"/>
      <c r="AA24" s="311"/>
      <c r="AB24" s="311"/>
      <c r="AC24" s="311"/>
      <c r="AD24" s="311"/>
      <c r="AE24" s="312"/>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5"/>
      <c r="BH24" s="55"/>
      <c r="BI24" s="55"/>
    </row>
    <row r="25" spans="1:61" ht="15" customHeight="1" x14ac:dyDescent="0.25">
      <c r="A25" s="55"/>
      <c r="B25" s="316"/>
      <c r="C25" s="316"/>
      <c r="D25" s="317"/>
      <c r="E25" s="306"/>
      <c r="F25" s="305"/>
      <c r="G25" s="305"/>
      <c r="H25" s="305"/>
      <c r="I25" s="305"/>
      <c r="J25" s="102" t="str">
        <f>IF(AND('Mapa final'!$AB$61="Muy Alta",'Mapa final'!$AD$61="Leve"),CONCATENATE("R20C",'Mapa final'!$R$61),"")</f>
        <v/>
      </c>
      <c r="K25" s="41" t="str">
        <f>IF(AND('Mapa final'!$AB$62="Muy Alta",'Mapa final'!$AD$62="Leve"),CONCATENATE("R20C",'Mapa final'!$R$62),"")</f>
        <v/>
      </c>
      <c r="L25" s="103" t="str">
        <f>IF(AND('Mapa final'!$AB$63="Muy Alta",'Mapa final'!$AD$63="Leve"),CONCATENATE("R20C",'Mapa final'!$R$63),"")</f>
        <v/>
      </c>
      <c r="M25" s="102" t="str">
        <f>IF(AND('Mapa final'!$AB$61="Muy Alta",'Mapa final'!$AD$61="Menor"),CONCATENATE("R20C",'Mapa final'!$R$61),"")</f>
        <v/>
      </c>
      <c r="N25" s="41" t="str">
        <f>IF(AND('Mapa final'!$AB$62="Muy Alta",'Mapa final'!$AD$62="Menor"),CONCATENATE("R20C",'Mapa final'!$R$62),"")</f>
        <v/>
      </c>
      <c r="O25" s="103" t="str">
        <f>IF(AND('Mapa final'!$AB$63="Muy Alta",'Mapa final'!$AD$63="Menor"),CONCATENATE("R20C",'Mapa final'!$R$63),"")</f>
        <v/>
      </c>
      <c r="P25" s="102" t="str">
        <f>IF(AND('Mapa final'!$AB$61="Muy Alta",'Mapa final'!$AD$61="Moderado"),CONCATENATE("R20C",'Mapa final'!$R$61),"")</f>
        <v/>
      </c>
      <c r="Q25" s="41" t="str">
        <f>IF(AND('Mapa final'!$AB$62="Muy Alta",'Mapa final'!$AD$62="Moderado"),CONCATENATE("R20C",'Mapa final'!$R$62),"")</f>
        <v/>
      </c>
      <c r="R25" s="103" t="str">
        <f>IF(AND('Mapa final'!$AB$63="Muy Alta",'Mapa final'!$AD$63="Moderado"),CONCATENATE("R20C",'Mapa final'!$R$63),"")</f>
        <v/>
      </c>
      <c r="S25" s="102" t="str">
        <f>IF(AND('Mapa final'!$AB$61="Muy Alta",'Mapa final'!$AD$61="Mayor"),CONCATENATE("R20C",'Mapa final'!$R$61),"")</f>
        <v/>
      </c>
      <c r="T25" s="41" t="str">
        <f>IF(AND('Mapa final'!$AB$62="Muy Alta",'Mapa final'!$AD$62="Mayor"),CONCATENATE("R20C",'Mapa final'!$R$62),"")</f>
        <v/>
      </c>
      <c r="U25" s="103" t="str">
        <f>IF(AND('Mapa final'!$AB$63="Muy Alta",'Mapa final'!$AD$63="Mayor"),CONCATENATE("R20C",'Mapa final'!$R$63),"")</f>
        <v/>
      </c>
      <c r="V25" s="42" t="str">
        <f>IF(AND('Mapa final'!$AB$61="Muy Alta",'Mapa final'!$AD$61="Catastrófico"),CONCATENATE("R20C",'Mapa final'!$R$61),"")</f>
        <v/>
      </c>
      <c r="W25" s="43" t="str">
        <f>IF(AND('Mapa final'!$AB$62="Muy Alta",'Mapa final'!$AD$62="Catastrófico"),CONCATENATE("R20C",'Mapa final'!$R$62),"")</f>
        <v/>
      </c>
      <c r="X25" s="97" t="str">
        <f>IF(AND('Mapa final'!$AB$63="Muy Alta",'Mapa final'!$AD$63="Catastrófico"),CONCATENATE("R20C",'Mapa final'!$R$63),"")</f>
        <v/>
      </c>
      <c r="Y25" s="55"/>
      <c r="Z25" s="310"/>
      <c r="AA25" s="311"/>
      <c r="AB25" s="311"/>
      <c r="AC25" s="311"/>
      <c r="AD25" s="311"/>
      <c r="AE25" s="312"/>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row>
    <row r="26" spans="1:61" ht="15" customHeight="1" x14ac:dyDescent="0.25">
      <c r="A26" s="55"/>
      <c r="B26" s="316"/>
      <c r="C26" s="316"/>
      <c r="D26" s="317"/>
      <c r="E26" s="306"/>
      <c r="F26" s="305"/>
      <c r="G26" s="305"/>
      <c r="H26" s="305"/>
      <c r="I26" s="305"/>
      <c r="J26" s="102" t="str">
        <f>IF(AND('Mapa final'!$AB$64="Muy Alta",'Mapa final'!$AD$64="Leve"),CONCATENATE("R21C",'Mapa final'!$R$64),"")</f>
        <v/>
      </c>
      <c r="K26" s="41" t="str">
        <f>IF(AND('Mapa final'!$AB$65="Muy Alta",'Mapa final'!$AD$65="Leve"),CONCATENATE("R21C",'Mapa final'!$R$65),"")</f>
        <v/>
      </c>
      <c r="L26" s="103" t="str">
        <f>IF(AND('Mapa final'!$AB$66="Muy Alta",'Mapa final'!$AD$66="Leve"),CONCATENATE("R21C",'Mapa final'!$R$66),"")</f>
        <v/>
      </c>
      <c r="M26" s="102" t="str">
        <f>IF(AND('Mapa final'!$AB$64="Muy Alta",'Mapa final'!$AD$64="Menor"),CONCATENATE("R21C",'Mapa final'!$R$64),"")</f>
        <v/>
      </c>
      <c r="N26" s="41" t="str">
        <f>IF(AND('Mapa final'!$AB$65="Muy Alta",'Mapa final'!$AD$65="Menor"),CONCATENATE("R21C",'Mapa final'!$R$65),"")</f>
        <v/>
      </c>
      <c r="O26" s="103" t="str">
        <f>IF(AND('Mapa final'!$AB$66="Muy Alta",'Mapa final'!$AD$66="Menor"),CONCATENATE("R21C",'Mapa final'!$R$66),"")</f>
        <v/>
      </c>
      <c r="P26" s="102" t="str">
        <f>IF(AND('Mapa final'!$AB$64="Muy Alta",'Mapa final'!$AD$64="Moderado"),CONCATENATE("R21C",'Mapa final'!$R$64),"")</f>
        <v/>
      </c>
      <c r="Q26" s="41" t="str">
        <f>IF(AND('Mapa final'!$AB$65="Muy Alta",'Mapa final'!$AD$65="Moderado"),CONCATENATE("R21C",'Mapa final'!$R$65),"")</f>
        <v/>
      </c>
      <c r="R26" s="103" t="str">
        <f>IF(AND('Mapa final'!$AB$66="Muy Alta",'Mapa final'!$AD$66="Moderado"),CONCATENATE("R21C",'Mapa final'!$R$66),"")</f>
        <v/>
      </c>
      <c r="S26" s="102" t="str">
        <f>IF(AND('Mapa final'!$AB$64="Muy Alta",'Mapa final'!$AD$64="Mayor"),CONCATENATE("R21C",'Mapa final'!$R$64),"")</f>
        <v/>
      </c>
      <c r="T26" s="41" t="str">
        <f>IF(AND('Mapa final'!$AB$65="Muy Alta",'Mapa final'!$AD$65="Mayor"),CONCATENATE("R21C",'Mapa final'!$R$65),"")</f>
        <v/>
      </c>
      <c r="U26" s="103" t="str">
        <f>IF(AND('Mapa final'!$AB$66="Muy Alta",'Mapa final'!$AD$66="Mayor"),CONCATENATE("R21C",'Mapa final'!$R$66),"")</f>
        <v/>
      </c>
      <c r="V26" s="42" t="str">
        <f>IF(AND('Mapa final'!$AB$64="Muy Alta",'Mapa final'!$AD$64="Catastrófico"),CONCATENATE("R21C",'Mapa final'!$R$64),"")</f>
        <v/>
      </c>
      <c r="W26" s="43" t="str">
        <f>IF(AND('Mapa final'!$AB$65="Muy Alta",'Mapa final'!$AD$65="Catastrófico"),CONCATENATE("R21C",'Mapa final'!$R$65),"")</f>
        <v/>
      </c>
      <c r="X26" s="97" t="str">
        <f>IF(AND('Mapa final'!$AB$66="Muy Alta",'Mapa final'!$AD$66="Catastrófico"),CONCATENATE("R21C",'Mapa final'!$R$66),"")</f>
        <v/>
      </c>
      <c r="Y26" s="55"/>
      <c r="Z26" s="310"/>
      <c r="AA26" s="311"/>
      <c r="AB26" s="311"/>
      <c r="AC26" s="311"/>
      <c r="AD26" s="311"/>
      <c r="AE26" s="312"/>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row>
    <row r="27" spans="1:61" ht="15" customHeight="1" x14ac:dyDescent="0.25">
      <c r="A27" s="55"/>
      <c r="B27" s="316"/>
      <c r="C27" s="316"/>
      <c r="D27" s="317"/>
      <c r="E27" s="306"/>
      <c r="F27" s="305"/>
      <c r="G27" s="305"/>
      <c r="H27" s="305"/>
      <c r="I27" s="305"/>
      <c r="J27" s="102" t="str">
        <f>IF(AND('Mapa final'!$AB$67="Muy Alta",'Mapa final'!$AD$67="Leve"),CONCATENATE("R22C",'Mapa final'!$R$67),"")</f>
        <v/>
      </c>
      <c r="K27" s="41" t="str">
        <f>IF(AND('Mapa final'!$AB$68="Muy Alta",'Mapa final'!$AD$68="Leve"),CONCATENATE("R22C",'Mapa final'!$R$68),"")</f>
        <v/>
      </c>
      <c r="L27" s="103" t="str">
        <f>IF(AND('Mapa final'!$AB$69="Muy Alta",'Mapa final'!$AD$69="Leve"),CONCATENATE("R22C",'Mapa final'!$R$69),"")</f>
        <v/>
      </c>
      <c r="M27" s="102" t="str">
        <f>IF(AND('Mapa final'!$AB$67="Muy Alta",'Mapa final'!$AD$67="Menor"),CONCATENATE("R22C",'Mapa final'!$R$67),"")</f>
        <v/>
      </c>
      <c r="N27" s="41" t="str">
        <f>IF(AND('Mapa final'!$AB$68="Muy Alta",'Mapa final'!$AD$68="Menor"),CONCATENATE("R22C",'Mapa final'!$R$68),"")</f>
        <v/>
      </c>
      <c r="O27" s="103" t="str">
        <f>IF(AND('Mapa final'!$AB$69="Muy Alta",'Mapa final'!$AD$69="Menor"),CONCATENATE("R22C",'Mapa final'!$R$69),"")</f>
        <v/>
      </c>
      <c r="P27" s="102" t="str">
        <f>IF(AND('Mapa final'!$AB$67="Muy Alta",'Mapa final'!$AD$67="Moderado"),CONCATENATE("R22C",'Mapa final'!$R$67),"")</f>
        <v/>
      </c>
      <c r="Q27" s="41" t="str">
        <f>IF(AND('Mapa final'!$AB$68="Muy Alta",'Mapa final'!$AD$68="Moderado"),CONCATENATE("R22C",'Mapa final'!$R$68),"")</f>
        <v/>
      </c>
      <c r="R27" s="103" t="str">
        <f>IF(AND('Mapa final'!$AB$69="Muy Alta",'Mapa final'!$AD$69="Moderado"),CONCATENATE("R22C",'Mapa final'!$R$69),"")</f>
        <v/>
      </c>
      <c r="S27" s="102" t="str">
        <f>IF(AND('Mapa final'!$AB$67="Muy Alta",'Mapa final'!$AD$67="Mayor"),CONCATENATE("R22C",'Mapa final'!$R$67),"")</f>
        <v/>
      </c>
      <c r="T27" s="41" t="str">
        <f>IF(AND('Mapa final'!$AB$68="Muy Alta",'Mapa final'!$AD$68="Mayor"),CONCATENATE("R22C",'Mapa final'!$R$68),"")</f>
        <v/>
      </c>
      <c r="U27" s="103" t="str">
        <f>IF(AND('Mapa final'!$AB$69="Muy Alta",'Mapa final'!$AD$69="Mayor"),CONCATENATE("R22C",'Mapa final'!$R$69),"")</f>
        <v/>
      </c>
      <c r="V27" s="42" t="str">
        <f>IF(AND('Mapa final'!$AB$67="Muy Alta",'Mapa final'!$AD$67="Catastrófico"),CONCATENATE("R22C",'Mapa final'!$R$67),"")</f>
        <v/>
      </c>
      <c r="W27" s="43" t="str">
        <f>IF(AND('Mapa final'!$AB$68="Muy Alta",'Mapa final'!$AD$68="Catastrófico"),CONCATENATE("R22C",'Mapa final'!$R$68),"")</f>
        <v/>
      </c>
      <c r="X27" s="97" t="str">
        <f>IF(AND('Mapa final'!$AB$69="Muy Alta",'Mapa final'!$AD$69="Catastrófico"),CONCATENATE("R22C",'Mapa final'!$R$69),"")</f>
        <v/>
      </c>
      <c r="Y27" s="55"/>
      <c r="Z27" s="310"/>
      <c r="AA27" s="311"/>
      <c r="AB27" s="311"/>
      <c r="AC27" s="311"/>
      <c r="AD27" s="311"/>
      <c r="AE27" s="312"/>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row>
    <row r="28" spans="1:61" ht="15" customHeight="1" x14ac:dyDescent="0.25">
      <c r="A28" s="55"/>
      <c r="B28" s="316"/>
      <c r="C28" s="316"/>
      <c r="D28" s="317"/>
      <c r="E28" s="306"/>
      <c r="F28" s="305"/>
      <c r="G28" s="305"/>
      <c r="H28" s="305"/>
      <c r="I28" s="305"/>
      <c r="J28" s="102" t="str">
        <f>IF(AND('Mapa final'!$AB$73="Muy Alta",'Mapa final'!$AD$73="Leve"),CONCATENATE("R23C",'Mapa final'!$R$73),"")</f>
        <v/>
      </c>
      <c r="K28" s="41" t="str">
        <f>IF(AND('Mapa final'!$AB$74="Muy Alta",'Mapa final'!$AD$74="Leve"),CONCATENATE("R23C",'Mapa final'!$R$74),"")</f>
        <v/>
      </c>
      <c r="L28" s="103" t="str">
        <f>IF(AND('Mapa final'!$AB$75="Muy Alta",'Mapa final'!$AD$75="Leve"),CONCATENATE("R23C",'Mapa final'!$R$75),"")</f>
        <v/>
      </c>
      <c r="M28" s="102" t="str">
        <f>IF(AND('Mapa final'!$AB$73="Muy Alta",'Mapa final'!$AD$73="Menor"),CONCATENATE("R23C",'Mapa final'!$R$73),"")</f>
        <v/>
      </c>
      <c r="N28" s="41" t="str">
        <f>IF(AND('Mapa final'!$AB$74="Muy Alta",'Mapa final'!$AD$74="Menor"),CONCATENATE("R23C",'Mapa final'!$R$74),"")</f>
        <v/>
      </c>
      <c r="O28" s="103" t="str">
        <f>IF(AND('Mapa final'!$AB$75="Muy Alta",'Mapa final'!$AD$75="Menor"),CONCATENATE("R23C",'Mapa final'!$R$75),"")</f>
        <v/>
      </c>
      <c r="P28" s="102" t="str">
        <f>IF(AND('Mapa final'!$AB$73="Muy Alta",'Mapa final'!$AD$73="Moderado"),CONCATENATE("R23C",'Mapa final'!$R$73),"")</f>
        <v/>
      </c>
      <c r="Q28" s="41" t="str">
        <f>IF(AND('Mapa final'!$AB$74="Muy Alta",'Mapa final'!$AD$74="Moderado"),CONCATENATE("R23C",'Mapa final'!$R$74),"")</f>
        <v/>
      </c>
      <c r="R28" s="103" t="str">
        <f>IF(AND('Mapa final'!$AB$75="Muy Alta",'Mapa final'!$AD$75="Moderado"),CONCATENATE("R23C",'Mapa final'!$R$75),"")</f>
        <v/>
      </c>
      <c r="S28" s="102" t="str">
        <f>IF(AND('Mapa final'!$AB$73="Muy Alta",'Mapa final'!$AD$73="Mayor"),CONCATENATE("R23C",'Mapa final'!$R$73),"")</f>
        <v/>
      </c>
      <c r="T28" s="41" t="str">
        <f>IF(AND('Mapa final'!$AB$74="Muy Alta",'Mapa final'!$AD$74="Mayor"),CONCATENATE("R23C",'Mapa final'!$R$74),"")</f>
        <v/>
      </c>
      <c r="U28" s="103" t="str">
        <f>IF(AND('Mapa final'!$AB$75="Muy Alta",'Mapa final'!$AD$75="Mayor"),CONCATENATE("R23C",'Mapa final'!$R$75),"")</f>
        <v/>
      </c>
      <c r="V28" s="42" t="str">
        <f>IF(AND('Mapa final'!$AB$73="Muy Alta",'Mapa final'!$AD$73="Catastrófico"),CONCATENATE("R23C",'Mapa final'!$R$73),"")</f>
        <v/>
      </c>
      <c r="W28" s="43" t="str">
        <f>IF(AND('Mapa final'!$AB$74="Muy Alta",'Mapa final'!$AD$74="Catastrófico"),CONCATENATE("R23C",'Mapa final'!$R$74),"")</f>
        <v/>
      </c>
      <c r="X28" s="97" t="str">
        <f>IF(AND('Mapa final'!$AB$75="Muy Alta",'Mapa final'!$AD$75="Catastrófico"),CONCATENATE("R23C",'Mapa final'!$R$75),"")</f>
        <v/>
      </c>
      <c r="Y28" s="55"/>
      <c r="Z28" s="310"/>
      <c r="AA28" s="311"/>
      <c r="AB28" s="311"/>
      <c r="AC28" s="311"/>
      <c r="AD28" s="311"/>
      <c r="AE28" s="312"/>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row>
    <row r="29" spans="1:61" ht="15" customHeight="1" x14ac:dyDescent="0.25">
      <c r="A29" s="55"/>
      <c r="B29" s="316"/>
      <c r="C29" s="316"/>
      <c r="D29" s="317"/>
      <c r="E29" s="306"/>
      <c r="F29" s="305"/>
      <c r="G29" s="305"/>
      <c r="H29" s="305"/>
      <c r="I29" s="305"/>
      <c r="J29" s="102" t="str">
        <f>IF(AND('Mapa final'!$AB$76="Muy Alta",'Mapa final'!$AD$76="Leve"),CONCATENATE("R24C",'Mapa final'!$R$76),"")</f>
        <v/>
      </c>
      <c r="K29" s="41" t="str">
        <f>IF(AND('Mapa final'!$AB$77="Muy Alta",'Mapa final'!$AD$77="Leve"),CONCATENATE("R24C",'Mapa final'!$R$77),"")</f>
        <v/>
      </c>
      <c r="L29" s="103" t="str">
        <f>IF(AND('Mapa final'!$AB$78="Muy Alta",'Mapa final'!$AD$78="Leve"),CONCATENATE("R24C",'Mapa final'!$R$78),"")</f>
        <v/>
      </c>
      <c r="M29" s="102" t="str">
        <f>IF(AND('Mapa final'!$AB$76="Muy Alta",'Mapa final'!$AD$76="Menor"),CONCATENATE("R24C",'Mapa final'!$R$76),"")</f>
        <v/>
      </c>
      <c r="N29" s="41" t="str">
        <f>IF(AND('Mapa final'!$AB$77="Muy Alta",'Mapa final'!$AD$77="Menor"),CONCATENATE("R24C",'Mapa final'!$R$77),"")</f>
        <v/>
      </c>
      <c r="O29" s="103" t="str">
        <f>IF(AND('Mapa final'!$AB$78="Muy Alta",'Mapa final'!$AD$78="Menor"),CONCATENATE("R24C",'Mapa final'!$R$78),"")</f>
        <v/>
      </c>
      <c r="P29" s="102" t="str">
        <f>IF(AND('Mapa final'!$AB$76="Muy Alta",'Mapa final'!$AD$76="Moderado"),CONCATENATE("R24C",'Mapa final'!$R$76),"")</f>
        <v/>
      </c>
      <c r="Q29" s="41" t="str">
        <f>IF(AND('Mapa final'!$AB$77="Muy Alta",'Mapa final'!$AD$77="Moderado"),CONCATENATE("R24C",'Mapa final'!$R$77),"")</f>
        <v/>
      </c>
      <c r="R29" s="103" t="str">
        <f>IF(AND('Mapa final'!$AB$78="Muy Alta",'Mapa final'!$AD$78="Moderado"),CONCATENATE("R24C",'Mapa final'!$R$78),"")</f>
        <v/>
      </c>
      <c r="S29" s="102" t="str">
        <f>IF(AND('Mapa final'!$AB$76="Muy Alta",'Mapa final'!$AD$76="Mayor"),CONCATENATE("R24C",'Mapa final'!$R$76),"")</f>
        <v/>
      </c>
      <c r="T29" s="41" t="str">
        <f>IF(AND('Mapa final'!$AB$77="Muy Alta",'Mapa final'!$AD$77="Mayor"),CONCATENATE("R24C",'Mapa final'!$R$77),"")</f>
        <v/>
      </c>
      <c r="U29" s="103" t="str">
        <f>IF(AND('Mapa final'!$AB$78="Muy Alta",'Mapa final'!$AD$78="Mayor"),CONCATENATE("R24C",'Mapa final'!$R$78),"")</f>
        <v/>
      </c>
      <c r="V29" s="42" t="str">
        <f>IF(AND('Mapa final'!$AB$76="Muy Alta",'Mapa final'!$AD$76="Catastrófico"),CONCATENATE("R24C",'Mapa final'!$R$76),"")</f>
        <v/>
      </c>
      <c r="W29" s="43" t="str">
        <f>IF(AND('Mapa final'!$AB$77="Muy Alta",'Mapa final'!$AD$77="Catastrófico"),CONCATENATE("R24C",'Mapa final'!$R$77),"")</f>
        <v/>
      </c>
      <c r="X29" s="97" t="str">
        <f>IF(AND('Mapa final'!$AB$78="Muy Alta",'Mapa final'!$AD$78="Catastrófico"),CONCATENATE("R24C",'Mapa final'!$R$78),"")</f>
        <v/>
      </c>
      <c r="Y29" s="55"/>
      <c r="Z29" s="310"/>
      <c r="AA29" s="311"/>
      <c r="AB29" s="311"/>
      <c r="AC29" s="311"/>
      <c r="AD29" s="311"/>
      <c r="AE29" s="312"/>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row>
    <row r="30" spans="1:61" ht="15" customHeight="1" x14ac:dyDescent="0.25">
      <c r="A30" s="55"/>
      <c r="B30" s="316"/>
      <c r="C30" s="316"/>
      <c r="D30" s="317"/>
      <c r="E30" s="306"/>
      <c r="F30" s="305"/>
      <c r="G30" s="305"/>
      <c r="H30" s="305"/>
      <c r="I30" s="305"/>
      <c r="J30" s="102" t="str">
        <f>IF(AND('Mapa final'!$AB$79="Muy Alta",'Mapa final'!$AD$79="Leve"),CONCATENATE("R25C",'Mapa final'!$R$79),"")</f>
        <v/>
      </c>
      <c r="K30" s="41" t="str">
        <f>IF(AND('Mapa final'!$AB$80="Muy Alta",'Mapa final'!$AD$80="Leve"),CONCATENATE("R25C",'Mapa final'!$R$80),"")</f>
        <v/>
      </c>
      <c r="L30" s="103" t="str">
        <f>IF(AND('Mapa final'!$AB$81="Muy Alta",'Mapa final'!$AD$81="Leve"),CONCATENATE("R25C",'Mapa final'!$R$81),"")</f>
        <v/>
      </c>
      <c r="M30" s="102" t="str">
        <f>IF(AND('Mapa final'!$AB$79="Muy Alta",'Mapa final'!$AD$79="Menor"),CONCATENATE("R25C",'Mapa final'!$R$79),"")</f>
        <v/>
      </c>
      <c r="N30" s="41" t="str">
        <f>IF(AND('Mapa final'!$AB$80="Muy Alta",'Mapa final'!$AD$80="Menor"),CONCATENATE("R25C",'Mapa final'!$R$80),"")</f>
        <v/>
      </c>
      <c r="O30" s="103" t="str">
        <f>IF(AND('Mapa final'!$AB$81="Muy Alta",'Mapa final'!$AD$81="Menor"),CONCATENATE("R25C",'Mapa final'!$R$81),"")</f>
        <v/>
      </c>
      <c r="P30" s="102" t="str">
        <f>IF(AND('Mapa final'!$AB$79="Muy Alta",'Mapa final'!$AD$79="Moderado"),CONCATENATE("R25C",'Mapa final'!$R$79),"")</f>
        <v/>
      </c>
      <c r="Q30" s="41" t="str">
        <f>IF(AND('Mapa final'!$AB$80="Muy Alta",'Mapa final'!$AD$80="Moderado"),CONCATENATE("R25C",'Mapa final'!$R$80),"")</f>
        <v/>
      </c>
      <c r="R30" s="103" t="str">
        <f>IF(AND('Mapa final'!$AB$81="Muy Alta",'Mapa final'!$AD$81="Moderado"),CONCATENATE("R25C",'Mapa final'!$R$81),"")</f>
        <v/>
      </c>
      <c r="S30" s="102" t="str">
        <f>IF(AND('Mapa final'!$AB$79="Muy Alta",'Mapa final'!$AD$79="Mayor"),CONCATENATE("R25C",'Mapa final'!$R$79),"")</f>
        <v/>
      </c>
      <c r="T30" s="41" t="str">
        <f>IF(AND('Mapa final'!$AB$80="Muy Alta",'Mapa final'!$AD$80="Mayor"),CONCATENATE("R25C",'Mapa final'!$R$80),"")</f>
        <v/>
      </c>
      <c r="U30" s="103" t="str">
        <f>IF(AND('Mapa final'!$AB$81="Muy Alta",'Mapa final'!$AD$81="Mayor"),CONCATENATE("R25C",'Mapa final'!$R$81),"")</f>
        <v/>
      </c>
      <c r="V30" s="42" t="str">
        <f>IF(AND('Mapa final'!$AB$79="Muy Alta",'Mapa final'!$AD$79="Catastrófico"),CONCATENATE("R25C",'Mapa final'!$R$79),"")</f>
        <v/>
      </c>
      <c r="W30" s="43" t="str">
        <f>IF(AND('Mapa final'!$AB$80="Muy Alta",'Mapa final'!$AD$80="Catastrófico"),CONCATENATE("R25C",'Mapa final'!$R$80),"")</f>
        <v/>
      </c>
      <c r="X30" s="97" t="str">
        <f>IF(AND('Mapa final'!$AB$81="Muy Alta",'Mapa final'!$AD$81="Catastrófico"),CONCATENATE("R25C",'Mapa final'!$R$81),"")</f>
        <v/>
      </c>
      <c r="Y30" s="55"/>
      <c r="Z30" s="310"/>
      <c r="AA30" s="311"/>
      <c r="AB30" s="311"/>
      <c r="AC30" s="311"/>
      <c r="AD30" s="311"/>
      <c r="AE30" s="312"/>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row>
    <row r="31" spans="1:61" ht="15" customHeight="1" x14ac:dyDescent="0.25">
      <c r="A31" s="55"/>
      <c r="B31" s="316"/>
      <c r="C31" s="316"/>
      <c r="D31" s="317"/>
      <c r="E31" s="306"/>
      <c r="F31" s="305"/>
      <c r="G31" s="305"/>
      <c r="H31" s="305"/>
      <c r="I31" s="305"/>
      <c r="J31" s="102" t="str">
        <f>IF(AND('Mapa final'!$AB$82="Muy Alta",'Mapa final'!$AD$82="Leve"),CONCATENATE("R26C",'Mapa final'!$R$82),"")</f>
        <v/>
      </c>
      <c r="K31" s="41" t="str">
        <f>IF(AND('Mapa final'!$AB$83="Muy Alta",'Mapa final'!$AD$83="Leve"),CONCATENATE("R26C",'Mapa final'!$R$83),"")</f>
        <v/>
      </c>
      <c r="L31" s="103" t="str">
        <f>IF(AND('Mapa final'!$AB$84="Muy Alta",'Mapa final'!$AD$84="Leve"),CONCATENATE("R26C",'Mapa final'!$R$84),"")</f>
        <v/>
      </c>
      <c r="M31" s="102" t="str">
        <f>IF(AND('Mapa final'!$AB$82="Muy Alta",'Mapa final'!$AD$82="Menor"),CONCATENATE("R26C",'Mapa final'!$R$82),"")</f>
        <v/>
      </c>
      <c r="N31" s="41" t="str">
        <f>IF(AND('Mapa final'!$AB$83="Muy Alta",'Mapa final'!$AD$83="Menor"),CONCATENATE("R26C",'Mapa final'!$R$83),"")</f>
        <v/>
      </c>
      <c r="O31" s="103" t="str">
        <f>IF(AND('Mapa final'!$AB$84="Muy Alta",'Mapa final'!$AD$84="Menor"),CONCATENATE("R26C",'Mapa final'!$R$84),"")</f>
        <v/>
      </c>
      <c r="P31" s="102" t="str">
        <f>IF(AND('Mapa final'!$AB$82="Muy Alta",'Mapa final'!$AD$82="Moderado"),CONCATENATE("R26C",'Mapa final'!$R$82),"")</f>
        <v/>
      </c>
      <c r="Q31" s="41" t="str">
        <f>IF(AND('Mapa final'!$AB$83="Muy Alta",'Mapa final'!$AD$83="Moderado"),CONCATENATE("R26C",'Mapa final'!$R$83),"")</f>
        <v/>
      </c>
      <c r="R31" s="103" t="str">
        <f>IF(AND('Mapa final'!$AB$84="Muy Alta",'Mapa final'!$AD$84="Moderado"),CONCATENATE("R26C",'Mapa final'!$R$84),"")</f>
        <v/>
      </c>
      <c r="S31" s="102" t="str">
        <f>IF(AND('Mapa final'!$AB$82="Muy Alta",'Mapa final'!$AD$82="Mayor"),CONCATENATE("R26C",'Mapa final'!$R$82),"")</f>
        <v/>
      </c>
      <c r="T31" s="41" t="str">
        <f>IF(AND('Mapa final'!$AB$83="Muy Alta",'Mapa final'!$AD$83="Mayor"),CONCATENATE("R26C",'Mapa final'!$R$83),"")</f>
        <v/>
      </c>
      <c r="U31" s="103" t="str">
        <f>IF(AND('Mapa final'!$AB$84="Muy Alta",'Mapa final'!$AD$84="Mayor"),CONCATENATE("R26C",'Mapa final'!$R$84),"")</f>
        <v/>
      </c>
      <c r="V31" s="42" t="str">
        <f>IF(AND('Mapa final'!$AB$82="Muy Alta",'Mapa final'!$AD$82="Catastrófico"),CONCATENATE("R26C",'Mapa final'!$R$82),"")</f>
        <v/>
      </c>
      <c r="W31" s="43" t="str">
        <f>IF(AND('Mapa final'!$AB$83="Muy Alta",'Mapa final'!$AD$83="Catastrófico"),CONCATENATE("R26C",'Mapa final'!$R$83),"")</f>
        <v/>
      </c>
      <c r="X31" s="97" t="str">
        <f>IF(AND('Mapa final'!$AB$84="Muy Alta",'Mapa final'!$AD$84="Catastrófico"),CONCATENATE("R26C",'Mapa final'!$R$84),"")</f>
        <v/>
      </c>
      <c r="Y31" s="55"/>
      <c r="Z31" s="310"/>
      <c r="AA31" s="311"/>
      <c r="AB31" s="311"/>
      <c r="AC31" s="311"/>
      <c r="AD31" s="311"/>
      <c r="AE31" s="312"/>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row>
    <row r="32" spans="1:61" ht="15" customHeight="1" x14ac:dyDescent="0.25">
      <c r="A32" s="55"/>
      <c r="B32" s="316"/>
      <c r="C32" s="316"/>
      <c r="D32" s="317"/>
      <c r="E32" s="306"/>
      <c r="F32" s="305"/>
      <c r="G32" s="305"/>
      <c r="H32" s="305"/>
      <c r="I32" s="305"/>
      <c r="J32" s="102" t="str">
        <f>IF(AND('Mapa final'!$AB$85="Muy Alta",'Mapa final'!$AD$85="Leve"),CONCATENATE("R27C",'Mapa final'!$R$85),"")</f>
        <v/>
      </c>
      <c r="K32" s="41" t="str">
        <f>IF(AND('Mapa final'!$AB$86="Muy Alta",'Mapa final'!$AD$86="Leve"),CONCATENATE("R27C",'Mapa final'!$R$86),"")</f>
        <v/>
      </c>
      <c r="L32" s="103" t="str">
        <f>IF(AND('Mapa final'!$AB$87="Muy Alta",'Mapa final'!$AD$87="Leve"),CONCATENATE("R27C",'Mapa final'!$R$87),"")</f>
        <v/>
      </c>
      <c r="M32" s="102" t="str">
        <f>IF(AND('Mapa final'!$AB$85="Muy Alta",'Mapa final'!$AD$85="Menor"),CONCATENATE("R27C",'Mapa final'!$R$85),"")</f>
        <v/>
      </c>
      <c r="N32" s="41" t="str">
        <f>IF(AND('Mapa final'!$AB$86="Muy Alta",'Mapa final'!$AD$86="Menor"),CONCATENATE("R27C",'Mapa final'!$R$86),"")</f>
        <v/>
      </c>
      <c r="O32" s="103" t="str">
        <f>IF(AND('Mapa final'!$AB$87="Muy Alta",'Mapa final'!$AD$87="Menor"),CONCATENATE("R27C",'Mapa final'!$R$87),"")</f>
        <v/>
      </c>
      <c r="P32" s="102" t="str">
        <f>IF(AND('Mapa final'!$AB$85="Muy Alta",'Mapa final'!$AD$85="Moderado"),CONCATENATE("R27C",'Mapa final'!$R$85),"")</f>
        <v/>
      </c>
      <c r="Q32" s="41" t="str">
        <f>IF(AND('Mapa final'!$AB$86="Muy Alta",'Mapa final'!$AD$86="Moderado"),CONCATENATE("R27C",'Mapa final'!$R$86),"")</f>
        <v/>
      </c>
      <c r="R32" s="103" t="str">
        <f>IF(AND('Mapa final'!$AB$87="Muy Alta",'Mapa final'!$AD$87="Moderado"),CONCATENATE("R27C",'Mapa final'!$R$87),"")</f>
        <v/>
      </c>
      <c r="S32" s="102" t="str">
        <f>IF(AND('Mapa final'!$AB$85="Muy Alta",'Mapa final'!$AD$85="Mayor"),CONCATENATE("R27C",'Mapa final'!$R$85),"")</f>
        <v/>
      </c>
      <c r="T32" s="41" t="str">
        <f>IF(AND('Mapa final'!$AB$86="Muy Alta",'Mapa final'!$AD$86="Mayor"),CONCATENATE("R27C",'Mapa final'!$R$86),"")</f>
        <v/>
      </c>
      <c r="U32" s="103" t="str">
        <f>IF(AND('Mapa final'!$AB$87="Muy Alta",'Mapa final'!$AD$87="Mayor"),CONCATENATE("R27C",'Mapa final'!$R$87),"")</f>
        <v/>
      </c>
      <c r="V32" s="42" t="str">
        <f>IF(AND('Mapa final'!$AB$85="Muy Alta",'Mapa final'!$AD$85="Catastrófico"),CONCATENATE("R27C",'Mapa final'!$R$85),"")</f>
        <v/>
      </c>
      <c r="W32" s="43" t="str">
        <f>IF(AND('Mapa final'!$AB$86="Muy Alta",'Mapa final'!$AD$86="Catastrófico"),CONCATENATE("R27C",'Mapa final'!$R$86),"")</f>
        <v/>
      </c>
      <c r="X32" s="97" t="str">
        <f>IF(AND('Mapa final'!$AB$87="Muy Alta",'Mapa final'!$AD$87="Catastrófico"),CONCATENATE("R27C",'Mapa final'!$R$87),"")</f>
        <v/>
      </c>
      <c r="Y32" s="55"/>
      <c r="Z32" s="310"/>
      <c r="AA32" s="311"/>
      <c r="AB32" s="311"/>
      <c r="AC32" s="311"/>
      <c r="AD32" s="311"/>
      <c r="AE32" s="312"/>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row>
    <row r="33" spans="1:61" ht="15" customHeight="1" x14ac:dyDescent="0.25">
      <c r="A33" s="55"/>
      <c r="B33" s="316"/>
      <c r="C33" s="316"/>
      <c r="D33" s="317"/>
      <c r="E33" s="306"/>
      <c r="F33" s="305"/>
      <c r="G33" s="305"/>
      <c r="H33" s="305"/>
      <c r="I33" s="305"/>
      <c r="J33" s="102" t="str">
        <f>IF(AND('Mapa final'!$AB$88="Muy Alta",'Mapa final'!$AD$88="Leve"),CONCATENATE("R28C",'Mapa final'!$R$88),"")</f>
        <v/>
      </c>
      <c r="K33" s="41" t="str">
        <f>IF(AND('Mapa final'!$AB$89="Muy Alta",'Mapa final'!$AD$89="Leve"),CONCATENATE("R28C",'Mapa final'!$R$89),"")</f>
        <v/>
      </c>
      <c r="L33" s="103" t="str">
        <f>IF(AND('Mapa final'!$AB$90="Muy Alta",'Mapa final'!$AD$90="Leve"),CONCATENATE("R28C",'Mapa final'!$R$90),"")</f>
        <v/>
      </c>
      <c r="M33" s="102" t="str">
        <f>IF(AND('Mapa final'!$AB$88="Muy Alta",'Mapa final'!$AD$88="Menor"),CONCATENATE("R28C",'Mapa final'!$R$88),"")</f>
        <v/>
      </c>
      <c r="N33" s="41" t="str">
        <f>IF(AND('Mapa final'!$AB$89="Muy Alta",'Mapa final'!$AD$89="Menor"),CONCATENATE("R28C",'Mapa final'!$R$89),"")</f>
        <v/>
      </c>
      <c r="O33" s="103" t="str">
        <f>IF(AND('Mapa final'!$AB$90="Muy Alta",'Mapa final'!$AD$90="Menor"),CONCATENATE("R28C",'Mapa final'!$R$90),"")</f>
        <v/>
      </c>
      <c r="P33" s="102" t="str">
        <f>IF(AND('Mapa final'!$AB$88="Muy Alta",'Mapa final'!$AD$88="Moderado"),CONCATENATE("R28C",'Mapa final'!$R$88),"")</f>
        <v/>
      </c>
      <c r="Q33" s="41" t="str">
        <f>IF(AND('Mapa final'!$AB$89="Muy Alta",'Mapa final'!$AD$89="Moderado"),CONCATENATE("R28C",'Mapa final'!$R$89),"")</f>
        <v/>
      </c>
      <c r="R33" s="103" t="str">
        <f>IF(AND('Mapa final'!$AB$90="Muy Alta",'Mapa final'!$AD$90="Moderado"),CONCATENATE("R28C",'Mapa final'!$R$90),"")</f>
        <v/>
      </c>
      <c r="S33" s="102" t="str">
        <f>IF(AND('Mapa final'!$AB$88="Muy Alta",'Mapa final'!$AD$88="Mayor"),CONCATENATE("R28C",'Mapa final'!$R$88),"")</f>
        <v/>
      </c>
      <c r="T33" s="41" t="str">
        <f>IF(AND('Mapa final'!$AB$89="Muy Alta",'Mapa final'!$AD$89="Mayor"),CONCATENATE("R28C",'Mapa final'!$R$89),"")</f>
        <v/>
      </c>
      <c r="U33" s="103" t="str">
        <f>IF(AND('Mapa final'!$AB$90="Muy Alta",'Mapa final'!$AD$90="Mayor"),CONCATENATE("R28C",'Mapa final'!$R$90),"")</f>
        <v/>
      </c>
      <c r="V33" s="42" t="str">
        <f>IF(AND('Mapa final'!$AB$88="Muy Alta",'Mapa final'!$AD$88="Catastrófico"),CONCATENATE("R28C",'Mapa final'!$R$88),"")</f>
        <v/>
      </c>
      <c r="W33" s="43" t="str">
        <f>IF(AND('Mapa final'!$AB$89="Muy Alta",'Mapa final'!$AD$89="Catastrófico"),CONCATENATE("R28C",'Mapa final'!$R$89),"")</f>
        <v/>
      </c>
      <c r="X33" s="97" t="str">
        <f>IF(AND('Mapa final'!$AB$90="Muy Alta",'Mapa final'!$AD$90="Catastrófico"),CONCATENATE("R28C",'Mapa final'!$R$90),"")</f>
        <v/>
      </c>
      <c r="Y33" s="55"/>
      <c r="Z33" s="310"/>
      <c r="AA33" s="311"/>
      <c r="AB33" s="311"/>
      <c r="AC33" s="311"/>
      <c r="AD33" s="311"/>
      <c r="AE33" s="312"/>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row>
    <row r="34" spans="1:61" ht="15" customHeight="1" x14ac:dyDescent="0.25">
      <c r="A34" s="55"/>
      <c r="B34" s="316"/>
      <c r="C34" s="316"/>
      <c r="D34" s="317"/>
      <c r="E34" s="306"/>
      <c r="F34" s="305"/>
      <c r="G34" s="305"/>
      <c r="H34" s="305"/>
      <c r="I34" s="305"/>
      <c r="J34" s="102" t="str">
        <f>IF(AND('Mapa final'!$AB$91="Muy Alta",'Mapa final'!$AD$91="Leve"),CONCATENATE("R29C",'Mapa final'!$R$91),"")</f>
        <v/>
      </c>
      <c r="K34" s="41" t="str">
        <f>IF(AND('Mapa final'!$AB$92="Muy Alta",'Mapa final'!$AD$92="Leve"),CONCATENATE("R29C",'Mapa final'!$R$92),"")</f>
        <v/>
      </c>
      <c r="L34" s="103" t="str">
        <f>IF(AND('Mapa final'!$AB$93="Muy Alta",'Mapa final'!$AD$93="Leve"),CONCATENATE("R29C",'Mapa final'!$R$93),"")</f>
        <v/>
      </c>
      <c r="M34" s="102" t="str">
        <f>IF(AND('Mapa final'!$AB$91="Muy Alta",'Mapa final'!$AD$91="Menor"),CONCATENATE("R29C",'Mapa final'!$R$91),"")</f>
        <v/>
      </c>
      <c r="N34" s="41" t="str">
        <f>IF(AND('Mapa final'!$AB$92="Muy Alta",'Mapa final'!$AD$92="Menor"),CONCATENATE("R29C",'Mapa final'!$R$92),"")</f>
        <v/>
      </c>
      <c r="O34" s="103" t="str">
        <f>IF(AND('Mapa final'!$AB$93="Muy Alta",'Mapa final'!$AD$93="Menor"),CONCATENATE("R29C",'Mapa final'!$R$93),"")</f>
        <v/>
      </c>
      <c r="P34" s="102" t="str">
        <f>IF(AND('Mapa final'!$AB$91="Muy Alta",'Mapa final'!$AD$91="Moderado"),CONCATENATE("R29C",'Mapa final'!$R$91),"")</f>
        <v/>
      </c>
      <c r="Q34" s="41" t="str">
        <f>IF(AND('Mapa final'!$AB$92="Muy Alta",'Mapa final'!$AD$92="Moderado"),CONCATENATE("R29C",'Mapa final'!$R$92),"")</f>
        <v/>
      </c>
      <c r="R34" s="103" t="str">
        <f>IF(AND('Mapa final'!$AB$93="Muy Alta",'Mapa final'!$AD$93="Moderado"),CONCATENATE("R29C",'Mapa final'!$R$93),"")</f>
        <v/>
      </c>
      <c r="S34" s="102" t="str">
        <f>IF(AND('Mapa final'!$AB$91="Muy Alta",'Mapa final'!$AD$91="Mayor"),CONCATENATE("R29C",'Mapa final'!$R$91),"")</f>
        <v/>
      </c>
      <c r="T34" s="41" t="str">
        <f>IF(AND('Mapa final'!$AB$92="Muy Alta",'Mapa final'!$AD$92="Mayor"),CONCATENATE("R29C",'Mapa final'!$R$92),"")</f>
        <v/>
      </c>
      <c r="U34" s="103" t="str">
        <f>IF(AND('Mapa final'!$AB$93="Muy Alta",'Mapa final'!$AD$93="Mayor"),CONCATENATE("R29C",'Mapa final'!$R$93),"")</f>
        <v/>
      </c>
      <c r="V34" s="42" t="str">
        <f>IF(AND('Mapa final'!$AB$91="Muy Alta",'Mapa final'!$AD$91="Catastrófico"),CONCATENATE("R29C",'Mapa final'!$R$91),"")</f>
        <v/>
      </c>
      <c r="W34" s="43" t="str">
        <f>IF(AND('Mapa final'!$AB$92="Muy Alta",'Mapa final'!$AD$92="Catastrófico"),CONCATENATE("R29C",'Mapa final'!$R$92),"")</f>
        <v/>
      </c>
      <c r="X34" s="97" t="str">
        <f>IF(AND('Mapa final'!$AB$93="Muy Alta",'Mapa final'!$AD$93="Catastrófico"),CONCATENATE("R29C",'Mapa final'!$R$93),"")</f>
        <v/>
      </c>
      <c r="Y34" s="55"/>
      <c r="Z34" s="310"/>
      <c r="AA34" s="311"/>
      <c r="AB34" s="311"/>
      <c r="AC34" s="311"/>
      <c r="AD34" s="311"/>
      <c r="AE34" s="312"/>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row>
    <row r="35" spans="1:61" ht="15" customHeight="1" x14ac:dyDescent="0.25">
      <c r="A35" s="55"/>
      <c r="B35" s="316"/>
      <c r="C35" s="316"/>
      <c r="D35" s="317"/>
      <c r="E35" s="306"/>
      <c r="F35" s="305"/>
      <c r="G35" s="305"/>
      <c r="H35" s="305"/>
      <c r="I35" s="305"/>
      <c r="J35" s="102" t="str">
        <f>IF(AND('Mapa final'!$AB$94="Muy Alta",'Mapa final'!$AD$94="Leve"),CONCATENATE("R30C",'Mapa final'!$R$94),"")</f>
        <v/>
      </c>
      <c r="K35" s="41" t="str">
        <f>IF(AND('Mapa final'!$AB$95="Muy Alta",'Mapa final'!$AD$95="Leve"),CONCATENATE("R30C",'Mapa final'!$R$95),"")</f>
        <v/>
      </c>
      <c r="L35" s="103" t="str">
        <f>IF(AND('Mapa final'!$AB$96="Muy Alta",'Mapa final'!$AD$96="Leve"),CONCATENATE("R30C",'Mapa final'!$R$96),"")</f>
        <v/>
      </c>
      <c r="M35" s="102" t="str">
        <f>IF(AND('Mapa final'!$AB$94="Muy Alta",'Mapa final'!$AD$94="Menor"),CONCATENATE("R30C",'Mapa final'!$R$94),"")</f>
        <v/>
      </c>
      <c r="N35" s="41" t="str">
        <f>IF(AND('Mapa final'!$AB$95="Muy Alta",'Mapa final'!$AD$95="Menor"),CONCATENATE("R30C",'Mapa final'!$R$95),"")</f>
        <v/>
      </c>
      <c r="O35" s="103" t="str">
        <f>IF(AND('Mapa final'!$AB$96="Muy Alta",'Mapa final'!$AD$96="Menor"),CONCATENATE("R30C",'Mapa final'!$R$96),"")</f>
        <v/>
      </c>
      <c r="P35" s="102" t="str">
        <f>IF(AND('Mapa final'!$AB$94="Muy Alta",'Mapa final'!$AD$94="Moderado"),CONCATENATE("R30C",'Mapa final'!$R$94),"")</f>
        <v/>
      </c>
      <c r="Q35" s="41" t="str">
        <f>IF(AND('Mapa final'!$AB$95="Muy Alta",'Mapa final'!$AD$95="Moderado"),CONCATENATE("R30C",'Mapa final'!$R$95),"")</f>
        <v/>
      </c>
      <c r="R35" s="103" t="str">
        <f>IF(AND('Mapa final'!$AB$96="Muy Alta",'Mapa final'!$AD$96="Moderado"),CONCATENATE("R30C",'Mapa final'!$R$96),"")</f>
        <v/>
      </c>
      <c r="S35" s="102" t="str">
        <f>IF(AND('Mapa final'!$AB$94="Muy Alta",'Mapa final'!$AD$94="Mayor"),CONCATENATE("R30C",'Mapa final'!$R$94),"")</f>
        <v/>
      </c>
      <c r="T35" s="41" t="str">
        <f>IF(AND('Mapa final'!$AB$95="Muy Alta",'Mapa final'!$AD$95="Mayor"),CONCATENATE("R30C",'Mapa final'!$R$95),"")</f>
        <v/>
      </c>
      <c r="U35" s="103" t="str">
        <f>IF(AND('Mapa final'!$AB$96="Muy Alta",'Mapa final'!$AD$96="Mayor"),CONCATENATE("R30C",'Mapa final'!$R$96),"")</f>
        <v/>
      </c>
      <c r="V35" s="42" t="str">
        <f>IF(AND('Mapa final'!$AB$94="Muy Alta",'Mapa final'!$AD$94="Catastrófico"),CONCATENATE("R30C",'Mapa final'!$R$94),"")</f>
        <v/>
      </c>
      <c r="W35" s="43" t="str">
        <f>IF(AND('Mapa final'!$AB$95="Muy Alta",'Mapa final'!$AD$95="Catastrófico"),CONCATENATE("R30C",'Mapa final'!$R$95),"")</f>
        <v/>
      </c>
      <c r="X35" s="97" t="str">
        <f>IF(AND('Mapa final'!$AB$96="Muy Alta",'Mapa final'!$AD$96="Catastrófico"),CONCATENATE("R30C",'Mapa final'!$R$96),"")</f>
        <v/>
      </c>
      <c r="Y35" s="55"/>
      <c r="Z35" s="310"/>
      <c r="AA35" s="311"/>
      <c r="AB35" s="311"/>
      <c r="AC35" s="311"/>
      <c r="AD35" s="311"/>
      <c r="AE35" s="312"/>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row>
    <row r="36" spans="1:61" ht="15" customHeight="1" x14ac:dyDescent="0.25">
      <c r="A36" s="55"/>
      <c r="B36" s="316"/>
      <c r="C36" s="316"/>
      <c r="D36" s="317"/>
      <c r="E36" s="306"/>
      <c r="F36" s="305"/>
      <c r="G36" s="305"/>
      <c r="H36" s="305"/>
      <c r="I36" s="305"/>
      <c r="J36" s="102" t="str">
        <f>IF(AND('Mapa final'!$AB$97="Muy Alta",'Mapa final'!$AD$97="Leve"),CONCATENATE("R31C",'Mapa final'!$R$97),"")</f>
        <v/>
      </c>
      <c r="K36" s="41" t="str">
        <f>IF(AND('Mapa final'!$AB$98="Muy Alta",'Mapa final'!$AD$98="Leve"),CONCATENATE("R31C",'Mapa final'!$R$98),"")</f>
        <v/>
      </c>
      <c r="L36" s="103" t="str">
        <f>IF(AND('Mapa final'!$AB$99="Muy Alta",'Mapa final'!$AD$99="Leve"),CONCATENATE("R31C",'Mapa final'!$R$99),"")</f>
        <v/>
      </c>
      <c r="M36" s="102" t="str">
        <f>IF(AND('Mapa final'!$AB$97="Muy Alta",'Mapa final'!$AD$97="Menor"),CONCATENATE("R31C",'Mapa final'!$R$97),"")</f>
        <v/>
      </c>
      <c r="N36" s="41" t="str">
        <f>IF(AND('Mapa final'!$AB$98="Muy Alta",'Mapa final'!$AD$98="Menor"),CONCATENATE("R31C",'Mapa final'!$R$98),"")</f>
        <v/>
      </c>
      <c r="O36" s="103" t="str">
        <f>IF(AND('Mapa final'!$AB$99="Muy Alta",'Mapa final'!$AD$99="Menor"),CONCATENATE("R31C",'Mapa final'!$R$99),"")</f>
        <v/>
      </c>
      <c r="P36" s="102" t="str">
        <f>IF(AND('Mapa final'!$AB$97="Muy Alta",'Mapa final'!$AD$97="Moderado"),CONCATENATE("R31C",'Mapa final'!$R$97),"")</f>
        <v/>
      </c>
      <c r="Q36" s="41" t="str">
        <f>IF(AND('Mapa final'!$AB$98="Muy Alta",'Mapa final'!$AD$98="Moderado"),CONCATENATE("R31C",'Mapa final'!$R$98),"")</f>
        <v/>
      </c>
      <c r="R36" s="103" t="str">
        <f>IF(AND('Mapa final'!$AB$99="Muy Alta",'Mapa final'!$AD$99="Moderado"),CONCATENATE("R31C",'Mapa final'!$R$99),"")</f>
        <v/>
      </c>
      <c r="S36" s="102" t="str">
        <f>IF(AND('Mapa final'!$AB$97="Muy Alta",'Mapa final'!$AD$97="Mayor"),CONCATENATE("R31C",'Mapa final'!$R$97),"")</f>
        <v/>
      </c>
      <c r="T36" s="41" t="str">
        <f>IF(AND('Mapa final'!$AB$98="Muy Alta",'Mapa final'!$AD$98="Mayor"),CONCATENATE("R31C",'Mapa final'!$R$98),"")</f>
        <v/>
      </c>
      <c r="U36" s="103" t="str">
        <f>IF(AND('Mapa final'!$AB$99="Muy Alta",'Mapa final'!$AD$99="Mayor"),CONCATENATE("R31C",'Mapa final'!$R$99),"")</f>
        <v/>
      </c>
      <c r="V36" s="42" t="str">
        <f>IF(AND('Mapa final'!$AB$97="Muy Alta",'Mapa final'!$AD$97="Catastrófico"),CONCATENATE("R31C",'Mapa final'!$R$97),"")</f>
        <v/>
      </c>
      <c r="W36" s="43" t="str">
        <f>IF(AND('Mapa final'!$AB$98="Muy Alta",'Mapa final'!$AD$98="Catastrófico"),CONCATENATE("R31C",'Mapa final'!$R$98),"")</f>
        <v/>
      </c>
      <c r="X36" s="97" t="str">
        <f>IF(AND('Mapa final'!$AB$99="Muy Alta",'Mapa final'!$AD$99="Catastrófico"),CONCATENATE("R31C",'Mapa final'!$R$99),"")</f>
        <v/>
      </c>
      <c r="Y36" s="55"/>
      <c r="Z36" s="310"/>
      <c r="AA36" s="311"/>
      <c r="AB36" s="311"/>
      <c r="AC36" s="311"/>
      <c r="AD36" s="311"/>
      <c r="AE36" s="312"/>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row>
    <row r="37" spans="1:61" ht="15" customHeight="1" x14ac:dyDescent="0.25">
      <c r="A37" s="55"/>
      <c r="B37" s="316"/>
      <c r="C37" s="316"/>
      <c r="D37" s="317"/>
      <c r="E37" s="306"/>
      <c r="F37" s="305"/>
      <c r="G37" s="305"/>
      <c r="H37" s="305"/>
      <c r="I37" s="305"/>
      <c r="J37" s="102" t="e">
        <f>IF(AND('Mapa final'!#REF!="Muy Alta",'Mapa final'!#REF!="Leve"),CONCATENATE("R32C",'Mapa final'!#REF!),"")</f>
        <v>#REF!</v>
      </c>
      <c r="K37" s="41" t="e">
        <f>IF(AND('Mapa final'!#REF!="Muy Alta",'Mapa final'!#REF!="Leve"),CONCATENATE("R32C",'Mapa final'!#REF!),"")</f>
        <v>#REF!</v>
      </c>
      <c r="L37" s="41" t="e">
        <f>IF(AND('Mapa final'!#REF!="Muy Alta",'Mapa final'!#REF!="Leve"),CONCATENATE("R32C",'Mapa final'!#REF!),"")</f>
        <v>#REF!</v>
      </c>
      <c r="M37" s="102" t="e">
        <f>IF(AND('Mapa final'!#REF!="Muy Alta",'Mapa final'!#REF!="Menor"),CONCATENATE("R32C",'Mapa final'!#REF!),"")</f>
        <v>#REF!</v>
      </c>
      <c r="N37" s="41" t="e">
        <f>IF(AND('Mapa final'!#REF!="Muy Alta",'Mapa final'!#REF!="Menor"),CONCATENATE("R32C",'Mapa final'!#REF!),"")</f>
        <v>#REF!</v>
      </c>
      <c r="O37" s="41" t="e">
        <f>IF(AND('Mapa final'!#REF!="Muy Alta",'Mapa final'!#REF!="Menor"),CONCATENATE("R32C",'Mapa final'!#REF!),"")</f>
        <v>#REF!</v>
      </c>
      <c r="P37" s="102" t="e">
        <f>IF(AND('Mapa final'!#REF!="Muy Alta",'Mapa final'!#REF!="Moderado"),CONCATENATE("R32C",'Mapa final'!#REF!),"")</f>
        <v>#REF!</v>
      </c>
      <c r="Q37" s="41" t="e">
        <f>IF(AND('Mapa final'!#REF!="Muy Alta",'Mapa final'!#REF!="Moderado"),CONCATENATE("R32C",'Mapa final'!#REF!),"")</f>
        <v>#REF!</v>
      </c>
      <c r="R37" s="41" t="e">
        <f>IF(AND('Mapa final'!#REF!="Muy Alta",'Mapa final'!#REF!="Moderado"),CONCATENATE("R32C",'Mapa final'!#REF!),"")</f>
        <v>#REF!</v>
      </c>
      <c r="S37" s="102" t="e">
        <f>IF(AND('Mapa final'!#REF!="Muy Alta",'Mapa final'!#REF!="Mayor"),CONCATENATE("R32C",'Mapa final'!#REF!),"")</f>
        <v>#REF!</v>
      </c>
      <c r="T37" s="41" t="e">
        <f>IF(AND('Mapa final'!#REF!="Muy Alta",'Mapa final'!#REF!="Mayor"),CONCATENATE("R32C",'Mapa final'!#REF!),"")</f>
        <v>#REF!</v>
      </c>
      <c r="U37" s="103" t="e">
        <f>IF(AND('Mapa final'!#REF!="Muy Alta",'Mapa final'!#REF!="Mayor"),CONCATENATE("R32C",'Mapa final'!#REF!),"")</f>
        <v>#REF!</v>
      </c>
      <c r="V37" s="42" t="e">
        <f>IF(AND('Mapa final'!#REF!="Muy Alta",'Mapa final'!#REF!="Catastrófico"),CONCATENATE("R32C",'Mapa final'!#REF!),"")</f>
        <v>#REF!</v>
      </c>
      <c r="W37" s="43" t="e">
        <f>IF(AND('Mapa final'!#REF!="Muy Alta",'Mapa final'!#REF!="Catastrófico"),CONCATENATE("R32C",'Mapa final'!#REF!),"")</f>
        <v>#REF!</v>
      </c>
      <c r="X37" s="97" t="e">
        <f>IF(AND('Mapa final'!#REF!="Muy Alta",'Mapa final'!#REF!="Catastrófico"),CONCATENATE("R32C",'Mapa final'!#REF!),"")</f>
        <v>#REF!</v>
      </c>
      <c r="Y37" s="55"/>
      <c r="Z37" s="310"/>
      <c r="AA37" s="311"/>
      <c r="AB37" s="311"/>
      <c r="AC37" s="311"/>
      <c r="AD37" s="311"/>
      <c r="AE37" s="312"/>
      <c r="AF37" s="55"/>
      <c r="AG37" s="55"/>
      <c r="AH37" s="55"/>
      <c r="AI37" s="55"/>
      <c r="AJ37" s="55"/>
      <c r="AK37" s="55"/>
      <c r="AL37" s="55"/>
      <c r="AM37" s="55"/>
      <c r="AN37" s="55"/>
      <c r="AO37" s="55"/>
      <c r="AP37" s="55"/>
      <c r="AQ37" s="55"/>
      <c r="AR37" s="55"/>
      <c r="AS37" s="55"/>
      <c r="AT37" s="55"/>
      <c r="AU37" s="55"/>
      <c r="AV37" s="55"/>
      <c r="AW37" s="55"/>
      <c r="AX37" s="55"/>
      <c r="AY37" s="55"/>
      <c r="AZ37" s="55"/>
      <c r="BA37" s="55"/>
      <c r="BB37" s="55"/>
      <c r="BC37" s="55"/>
      <c r="BD37" s="55"/>
      <c r="BE37" s="55"/>
      <c r="BF37" s="55"/>
      <c r="BG37" s="55"/>
      <c r="BH37" s="55"/>
      <c r="BI37" s="55"/>
    </row>
    <row r="38" spans="1:61" ht="15" customHeight="1" x14ac:dyDescent="0.25">
      <c r="A38" s="55"/>
      <c r="B38" s="316"/>
      <c r="C38" s="316"/>
      <c r="D38" s="317"/>
      <c r="E38" s="306"/>
      <c r="F38" s="305"/>
      <c r="G38" s="305"/>
      <c r="H38" s="305"/>
      <c r="I38" s="305"/>
      <c r="J38" s="102" t="str">
        <f>IF(AND('Mapa final'!$AB$100="Muy Alta",'Mapa final'!$AD$100="Leve"),CONCATENATE("R33C",'Mapa final'!$R$100),"")</f>
        <v/>
      </c>
      <c r="K38" s="41" t="str">
        <f>IF(AND('Mapa final'!$AB$101="Muy Alta",'Mapa final'!$AD$101="Leve"),CONCATENATE("R33C",'Mapa final'!$R$101),"")</f>
        <v/>
      </c>
      <c r="L38" s="41" t="str">
        <f>IF(AND('Mapa final'!$AB$102="Muy Alta",'Mapa final'!$AD$102="Leve"),CONCATENATE("R33C",'Mapa final'!$R$102),"")</f>
        <v/>
      </c>
      <c r="M38" s="102" t="str">
        <f>IF(AND('Mapa final'!$AB$100="Muy Alta",'Mapa final'!$AD$100="Menor"),CONCATENATE("R33C",'Mapa final'!$R$100),"")</f>
        <v/>
      </c>
      <c r="N38" s="41" t="str">
        <f>IF(AND('Mapa final'!$AB$101="Muy Alta",'Mapa final'!$AD$101="Menor"),CONCATENATE("R33C",'Mapa final'!$R$101),"")</f>
        <v/>
      </c>
      <c r="O38" s="41" t="str">
        <f>IF(AND('Mapa final'!$AB$102="Muy Alta",'Mapa final'!$AD$102="Menor"),CONCATENATE("R33C",'Mapa final'!$R$102),"")</f>
        <v/>
      </c>
      <c r="P38" s="102" t="str">
        <f>IF(AND('Mapa final'!$AB$100="Muy Alta",'Mapa final'!$AD$100="Moderado"),CONCATENATE("R33C",'Mapa final'!$R$100),"")</f>
        <v/>
      </c>
      <c r="Q38" s="41" t="str">
        <f>IF(AND('Mapa final'!$AB$101="Muy Alta",'Mapa final'!$AD$101="Moderado"),CONCATENATE("R33C",'Mapa final'!$R$101),"")</f>
        <v/>
      </c>
      <c r="R38" s="41" t="str">
        <f>IF(AND('Mapa final'!$AB$102="Muy Alta",'Mapa final'!$AD$102="Moderado"),CONCATENATE("R33C",'Mapa final'!$R$102),"")</f>
        <v/>
      </c>
      <c r="S38" s="102" t="str">
        <f>IF(AND('Mapa final'!$AB$100="Muy Alta",'Mapa final'!$AD$100="Mayor"),CONCATENATE("R33C",'Mapa final'!$R$100),"")</f>
        <v/>
      </c>
      <c r="T38" s="41" t="str">
        <f>IF(AND('Mapa final'!$AB$101="Muy Alta",'Mapa final'!$AD$101="Mayor"),CONCATENATE("R33C",'Mapa final'!$R$101),"")</f>
        <v/>
      </c>
      <c r="U38" s="103" t="str">
        <f>IF(AND('Mapa final'!$AB$102="Muy Alta",'Mapa final'!$AD$102="Mayor"),CONCATENATE("R33C",'Mapa final'!$R$102),"")</f>
        <v/>
      </c>
      <c r="V38" s="42" t="str">
        <f>IF(AND('Mapa final'!$AB$100="Muy Alta",'Mapa final'!$AD$100="Catastrófico"),CONCATENATE("R33C",'Mapa final'!$R$100),"")</f>
        <v/>
      </c>
      <c r="W38" s="43" t="str">
        <f>IF(AND('Mapa final'!$AB$101="Muy Alta",'Mapa final'!$AD$101="Catastrófico"),CONCATENATE("R33C",'Mapa final'!$R$101),"")</f>
        <v/>
      </c>
      <c r="X38" s="97" t="str">
        <f>IF(AND('Mapa final'!$AB$102="Muy Alta",'Mapa final'!$AD$102="Catastrófico"),CONCATENATE("R33C",'Mapa final'!$R$102),"")</f>
        <v/>
      </c>
      <c r="Y38" s="55"/>
      <c r="Z38" s="310"/>
      <c r="AA38" s="311"/>
      <c r="AB38" s="311"/>
      <c r="AC38" s="311"/>
      <c r="AD38" s="311"/>
      <c r="AE38" s="312"/>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5"/>
      <c r="BH38" s="55"/>
      <c r="BI38" s="55"/>
    </row>
    <row r="39" spans="1:61" ht="15" customHeight="1" x14ac:dyDescent="0.25">
      <c r="A39" s="55"/>
      <c r="B39" s="316"/>
      <c r="C39" s="316"/>
      <c r="D39" s="317"/>
      <c r="E39" s="306"/>
      <c r="F39" s="305"/>
      <c r="G39" s="305"/>
      <c r="H39" s="305"/>
      <c r="I39" s="305"/>
      <c r="J39" s="102" t="str">
        <f>IF(AND('Mapa final'!$AB$103="Muy Alta",'Mapa final'!$AD$103="Leve"),CONCATENATE("R34C",'Mapa final'!$R$103),"")</f>
        <v/>
      </c>
      <c r="K39" s="41" t="str">
        <f>IF(AND('Mapa final'!$AB$104="Muy Alta",'Mapa final'!$AD$104="Leve"),CONCATENATE("R34C",'Mapa final'!$R$104),"")</f>
        <v/>
      </c>
      <c r="L39" s="103" t="str">
        <f>IF(AND('Mapa final'!$AB$105="Muy Alta",'Mapa final'!$AD$105="Leve"),CONCATENATE("R34C",'Mapa final'!$R$105),"")</f>
        <v/>
      </c>
      <c r="M39" s="102" t="str">
        <f>IF(AND('Mapa final'!$AB$103="Muy Alta",'Mapa final'!$AD$103="Menor"),CONCATENATE("R34C",'Mapa final'!$R$103),"")</f>
        <v/>
      </c>
      <c r="N39" s="41" t="str">
        <f>IF(AND('Mapa final'!$AB$104="Muy Alta",'Mapa final'!$AD$104="Menor"),CONCATENATE("R34C",'Mapa final'!$R$104),"")</f>
        <v/>
      </c>
      <c r="O39" s="103" t="str">
        <f>IF(AND('Mapa final'!$AB$105="Muy Alta",'Mapa final'!$AD$105="Menor"),CONCATENATE("R34C",'Mapa final'!$R$105),"")</f>
        <v/>
      </c>
      <c r="P39" s="102" t="str">
        <f>IF(AND('Mapa final'!$AB$103="Muy Alta",'Mapa final'!$AD$103="Moderado"),CONCATENATE("R34C",'Mapa final'!$R$103),"")</f>
        <v/>
      </c>
      <c r="Q39" s="41" t="str">
        <f>IF(AND('Mapa final'!$AB$104="Muy Alta",'Mapa final'!$AD$104="Moderado"),CONCATENATE("R34C",'Mapa final'!$R$104),"")</f>
        <v/>
      </c>
      <c r="R39" s="103" t="str">
        <f>IF(AND('Mapa final'!$AB$105="Muy Alta",'Mapa final'!$AD$105="Moderado"),CONCATENATE("R34C",'Mapa final'!$R$105),"")</f>
        <v/>
      </c>
      <c r="S39" s="102" t="str">
        <f>IF(AND('Mapa final'!$AB$103="Muy Alta",'Mapa final'!$AD$103="Mayor"),CONCATENATE("R34C",'Mapa final'!$R$103),"")</f>
        <v/>
      </c>
      <c r="T39" s="41" t="str">
        <f>IF(AND('Mapa final'!$AB$104="Muy Alta",'Mapa final'!$AD$104="Mayor"),CONCATENATE("R34C",'Mapa final'!$R$104),"")</f>
        <v/>
      </c>
      <c r="U39" s="103" t="str">
        <f>IF(AND('Mapa final'!$AB$105="Muy Alta",'Mapa final'!$AD$105="Mayor"),CONCATENATE("R34C",'Mapa final'!$R$105),"")</f>
        <v/>
      </c>
      <c r="V39" s="42" t="str">
        <f>IF(AND('Mapa final'!$AB$103="Muy Alta",'Mapa final'!$AD$103="Catastrófico"),CONCATENATE("R34C",'Mapa final'!$R$103),"")</f>
        <v/>
      </c>
      <c r="W39" s="43" t="str">
        <f>IF(AND('Mapa final'!$AB$104="Muy Alta",'Mapa final'!$AD$104="Catastrófico"),CONCATENATE("R34C",'Mapa final'!$R$104),"")</f>
        <v/>
      </c>
      <c r="X39" s="97" t="str">
        <f>IF(AND('Mapa final'!$AB$105="Muy Alta",'Mapa final'!$AD$105="Catastrófico"),CONCATENATE("R34C",'Mapa final'!$R$105),"")</f>
        <v/>
      </c>
      <c r="Y39" s="55"/>
      <c r="Z39" s="310"/>
      <c r="AA39" s="311"/>
      <c r="AB39" s="311"/>
      <c r="AC39" s="311"/>
      <c r="AD39" s="311"/>
      <c r="AE39" s="312"/>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5"/>
      <c r="BH39" s="55"/>
      <c r="BI39" s="55"/>
    </row>
    <row r="40" spans="1:61" ht="15" customHeight="1" x14ac:dyDescent="0.25">
      <c r="A40" s="55"/>
      <c r="B40" s="316"/>
      <c r="C40" s="316"/>
      <c r="D40" s="317"/>
      <c r="E40" s="306"/>
      <c r="F40" s="305"/>
      <c r="G40" s="305"/>
      <c r="H40" s="305"/>
      <c r="I40" s="305"/>
      <c r="J40" s="102" t="str">
        <f>IF(AND('Mapa final'!$AB$106="Muy Alta",'Mapa final'!$AD$106="Leve"),CONCATENATE("R35C",'Mapa final'!$R$106),"")</f>
        <v/>
      </c>
      <c r="K40" s="41" t="str">
        <f>IF(AND('Mapa final'!$AB$107="Muy Alta",'Mapa final'!$AD$107="Leve"),CONCATENATE("R35C",'Mapa final'!$R$107),"")</f>
        <v/>
      </c>
      <c r="L40" s="103" t="str">
        <f>IF(AND('Mapa final'!$AB$108="Muy Alta",'Mapa final'!$AD$108="Leve"),CONCATENATE("R35C",'Mapa final'!$R$108),"")</f>
        <v/>
      </c>
      <c r="M40" s="102" t="str">
        <f>IF(AND('Mapa final'!$AB$106="Muy Alta",'Mapa final'!$AD$106="Menor"),CONCATENATE("R35C",'Mapa final'!$R$106),"")</f>
        <v/>
      </c>
      <c r="N40" s="41" t="str">
        <f>IF(AND('Mapa final'!$AB$107="Muy Alta",'Mapa final'!$AD$107="Menor"),CONCATENATE("R35C",'Mapa final'!$R$107),"")</f>
        <v/>
      </c>
      <c r="O40" s="103" t="str">
        <f>IF(AND('Mapa final'!$AB$108="Muy Alta",'Mapa final'!$AD$108="Menor"),CONCATENATE("R35C",'Mapa final'!$R$108),"")</f>
        <v/>
      </c>
      <c r="P40" s="102" t="str">
        <f>IF(AND('Mapa final'!$AB$106="Muy Alta",'Mapa final'!$AD$106="Moderado"),CONCATENATE("R35C",'Mapa final'!$R$106),"")</f>
        <v/>
      </c>
      <c r="Q40" s="41" t="str">
        <f>IF(AND('Mapa final'!$AB$107="Muy Alta",'Mapa final'!$AD$107="Moderado"),CONCATENATE("R35C",'Mapa final'!$R$107),"")</f>
        <v/>
      </c>
      <c r="R40" s="103" t="str">
        <f>IF(AND('Mapa final'!$AB$108="Muy Alta",'Mapa final'!$AD$108="Moderado"),CONCATENATE("R35C",'Mapa final'!$R$108),"")</f>
        <v/>
      </c>
      <c r="S40" s="102" t="str">
        <f>IF(AND('Mapa final'!$AB$106="Muy Alta",'Mapa final'!$AD$106="Mayor"),CONCATENATE("R35C",'Mapa final'!$R$106),"")</f>
        <v/>
      </c>
      <c r="T40" s="41" t="str">
        <f>IF(AND('Mapa final'!$AB$107="Muy Alta",'Mapa final'!$AD$107="Mayor"),CONCATENATE("R35C",'Mapa final'!$R$107),"")</f>
        <v/>
      </c>
      <c r="U40" s="103" t="str">
        <f>IF(AND('Mapa final'!$AB$108="Muy Alta",'Mapa final'!$AD$108="Mayor"),CONCATENATE("R35C",'Mapa final'!$R$108),"")</f>
        <v/>
      </c>
      <c r="V40" s="42" t="str">
        <f>IF(AND('Mapa final'!$AB$106="Muy Alta",'Mapa final'!$AD$106="Catastrófico"),CONCATENATE("R35C",'Mapa final'!$R$106),"")</f>
        <v/>
      </c>
      <c r="W40" s="43" t="str">
        <f>IF(AND('Mapa final'!$AB$107="Muy Alta",'Mapa final'!$AD$107="Catastrófico"),CONCATENATE("R35C",'Mapa final'!$R$107),"")</f>
        <v/>
      </c>
      <c r="X40" s="97" t="str">
        <f>IF(AND('Mapa final'!$AB$108="Muy Alta",'Mapa final'!$AD$108="Catastrófico"),CONCATENATE("R35C",'Mapa final'!$R$108),"")</f>
        <v/>
      </c>
      <c r="Y40" s="55"/>
      <c r="Z40" s="310"/>
      <c r="AA40" s="311"/>
      <c r="AB40" s="311"/>
      <c r="AC40" s="311"/>
      <c r="AD40" s="311"/>
      <c r="AE40" s="312"/>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5"/>
      <c r="BH40" s="55"/>
      <c r="BI40" s="55"/>
    </row>
    <row r="41" spans="1:61" ht="15" customHeight="1" x14ac:dyDescent="0.25">
      <c r="A41" s="55"/>
      <c r="B41" s="316"/>
      <c r="C41" s="316"/>
      <c r="D41" s="317"/>
      <c r="E41" s="306"/>
      <c r="F41" s="305"/>
      <c r="G41" s="305"/>
      <c r="H41" s="305"/>
      <c r="I41" s="305"/>
      <c r="J41" s="102" t="str">
        <f>IF(AND('Mapa final'!$AB$109="Muy Alta",'Mapa final'!$AD$109="Leve"),CONCATENATE("R36C",'Mapa final'!$R$109),"")</f>
        <v/>
      </c>
      <c r="K41" s="41" t="str">
        <f>IF(AND('Mapa final'!$AB$110="Muy Alta",'Mapa final'!$AD$110="Leve"),CONCATENATE("R36C",'Mapa final'!$R$110),"")</f>
        <v/>
      </c>
      <c r="L41" s="103" t="str">
        <f>IF(AND('Mapa final'!$AB$111="Muy Alta",'Mapa final'!$AD$111="Leve"),CONCATENATE("R36C",'Mapa final'!$R$111),"")</f>
        <v/>
      </c>
      <c r="M41" s="102" t="str">
        <f>IF(AND('Mapa final'!$AB$109="Muy Alta",'Mapa final'!$AD$109="Menor"),CONCATENATE("R36C",'Mapa final'!$R$109),"")</f>
        <v/>
      </c>
      <c r="N41" s="41" t="str">
        <f>IF(AND('Mapa final'!$AB$110="Muy Alta",'Mapa final'!$AD$110="Menor"),CONCATENATE("R36C",'Mapa final'!$R$110),"")</f>
        <v/>
      </c>
      <c r="O41" s="103" t="str">
        <f>IF(AND('Mapa final'!$AB$111="Muy Alta",'Mapa final'!$AD$111="Menor"),CONCATENATE("R36C",'Mapa final'!$R$111),"")</f>
        <v/>
      </c>
      <c r="P41" s="102" t="str">
        <f>IF(AND('Mapa final'!$AB$109="Muy Alta",'Mapa final'!$AD$109="Moderado"),CONCATENATE("R36C",'Mapa final'!$R$109),"")</f>
        <v/>
      </c>
      <c r="Q41" s="41" t="str">
        <f>IF(AND('Mapa final'!$AB$110="Muy Alta",'Mapa final'!$AD$110="Moderado"),CONCATENATE("R36C",'Mapa final'!$R$110),"")</f>
        <v/>
      </c>
      <c r="R41" s="103" t="str">
        <f>IF(AND('Mapa final'!$AB$111="Muy Alta",'Mapa final'!$AD$111="Moderado"),CONCATENATE("R36C",'Mapa final'!$R$111),"")</f>
        <v/>
      </c>
      <c r="S41" s="102" t="str">
        <f>IF(AND('Mapa final'!$AB$109="Muy Alta",'Mapa final'!$AD$109="Mayor"),CONCATENATE("R36C",'Mapa final'!$R$109),"")</f>
        <v/>
      </c>
      <c r="T41" s="41" t="str">
        <f>IF(AND('Mapa final'!$AB$110="Muy Alta",'Mapa final'!$AD$110="Mayor"),CONCATENATE("R36C",'Mapa final'!$R$110),"")</f>
        <v/>
      </c>
      <c r="U41" s="103" t="str">
        <f>IF(AND('Mapa final'!$AB$111="Muy Alta",'Mapa final'!$AD$111="Mayor"),CONCATENATE("R36C",'Mapa final'!$R$111),"")</f>
        <v/>
      </c>
      <c r="V41" s="42" t="str">
        <f>IF(AND('Mapa final'!$AB$109="Muy Alta",'Mapa final'!$AD$109="Catastrófico"),CONCATENATE("R36C",'Mapa final'!$R$109),"")</f>
        <v/>
      </c>
      <c r="W41" s="43" t="str">
        <f>IF(AND('Mapa final'!$AB$110="Muy Alta",'Mapa final'!$AD$110="Catastrófico"),CONCATENATE("R36C",'Mapa final'!$R$110),"")</f>
        <v/>
      </c>
      <c r="X41" s="97" t="str">
        <f>IF(AND('Mapa final'!$AB$111="Muy Alta",'Mapa final'!$AD$111="Catastrófico"),CONCATENATE("R36C",'Mapa final'!$R$111),"")</f>
        <v/>
      </c>
      <c r="Y41" s="55"/>
      <c r="Z41" s="310"/>
      <c r="AA41" s="311"/>
      <c r="AB41" s="311"/>
      <c r="AC41" s="311"/>
      <c r="AD41" s="311"/>
      <c r="AE41" s="312"/>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row>
    <row r="42" spans="1:61" ht="15" customHeight="1" x14ac:dyDescent="0.25">
      <c r="A42" s="55"/>
      <c r="B42" s="316"/>
      <c r="C42" s="316"/>
      <c r="D42" s="317"/>
      <c r="E42" s="306"/>
      <c r="F42" s="305"/>
      <c r="G42" s="305"/>
      <c r="H42" s="305"/>
      <c r="I42" s="305"/>
      <c r="J42" s="102" t="str">
        <f>IF(AND('Mapa final'!$AB$112="Muy Alta",'Mapa final'!$AD$112="Leve"),CONCATENATE("R37C",'Mapa final'!$R$112),"")</f>
        <v/>
      </c>
      <c r="K42" s="41" t="str">
        <f>IF(AND('Mapa final'!$AB$113="Muy Alta",'Mapa final'!$AD$113="Leve"),CONCATENATE("R37C",'Mapa final'!$R$113),"")</f>
        <v/>
      </c>
      <c r="L42" s="103" t="str">
        <f>IF(AND('Mapa final'!$AB$114="Muy Alta",'Mapa final'!$AD$114="Leve"),CONCATENATE("R37C",'Mapa final'!$R$114),"")</f>
        <v/>
      </c>
      <c r="M42" s="102" t="str">
        <f>IF(AND('Mapa final'!$AB$112="Muy Alta",'Mapa final'!$AD$112="Menor"),CONCATENATE("R37C",'Mapa final'!$R$112),"")</f>
        <v/>
      </c>
      <c r="N42" s="41" t="str">
        <f>IF(AND('Mapa final'!$AB$113="Muy Alta",'Mapa final'!$AD$113="Menor"),CONCATENATE("R37C",'Mapa final'!$R$113),"")</f>
        <v/>
      </c>
      <c r="O42" s="103" t="str">
        <f>IF(AND('Mapa final'!$AB$114="Muy Alta",'Mapa final'!$AD$114="Menor"),CONCATENATE("R37C",'Mapa final'!$R$114),"")</f>
        <v/>
      </c>
      <c r="P42" s="102" t="str">
        <f>IF(AND('Mapa final'!$AB$112="Muy Alta",'Mapa final'!$AD$112="Moderado"),CONCATENATE("R37C",'Mapa final'!$R$112),"")</f>
        <v/>
      </c>
      <c r="Q42" s="41" t="str">
        <f>IF(AND('Mapa final'!$AB$113="Muy Alta",'Mapa final'!$AD$113="Moderado"),CONCATENATE("R37C",'Mapa final'!$R$113),"")</f>
        <v/>
      </c>
      <c r="R42" s="103" t="str">
        <f>IF(AND('Mapa final'!$AB$114="Muy Alta",'Mapa final'!$AD$114="Moderado"),CONCATENATE("R37C",'Mapa final'!$R$114),"")</f>
        <v/>
      </c>
      <c r="S42" s="102" t="str">
        <f>IF(AND('Mapa final'!$AB$112="Muy Alta",'Mapa final'!$AD$112="Mayor"),CONCATENATE("R37C",'Mapa final'!$R$112),"")</f>
        <v/>
      </c>
      <c r="T42" s="41" t="str">
        <f>IF(AND('Mapa final'!$AB$113="Muy Alta",'Mapa final'!$AD$113="Mayor"),CONCATENATE("R37C",'Mapa final'!$R$113),"")</f>
        <v/>
      </c>
      <c r="U42" s="103" t="str">
        <f>IF(AND('Mapa final'!$AB$114="Muy Alta",'Mapa final'!$AD$114="Mayor"),CONCATENATE("R37C",'Mapa final'!$R$114),"")</f>
        <v/>
      </c>
      <c r="V42" s="42" t="str">
        <f>IF(AND('Mapa final'!$AB$112="Muy Alta",'Mapa final'!$AD$112="Catastrófico"),CONCATENATE("R37C",'Mapa final'!$R$112),"")</f>
        <v/>
      </c>
      <c r="W42" s="43" t="str">
        <f>IF(AND('Mapa final'!$AB$113="Muy Alta",'Mapa final'!$AD$113="Catastrófico"),CONCATENATE("R37C",'Mapa final'!$R$113),"")</f>
        <v/>
      </c>
      <c r="X42" s="97" t="str">
        <f>IF(AND('Mapa final'!$AB$114="Muy Alta",'Mapa final'!$AD$114="Catastrófico"),CONCATENATE("R37C",'Mapa final'!$R$114),"")</f>
        <v/>
      </c>
      <c r="Y42" s="55"/>
      <c r="Z42" s="310"/>
      <c r="AA42" s="311"/>
      <c r="AB42" s="311"/>
      <c r="AC42" s="311"/>
      <c r="AD42" s="311"/>
      <c r="AE42" s="312"/>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row>
    <row r="43" spans="1:61" ht="15" customHeight="1" x14ac:dyDescent="0.25">
      <c r="A43" s="55"/>
      <c r="B43" s="316"/>
      <c r="C43" s="316"/>
      <c r="D43" s="317"/>
      <c r="E43" s="306"/>
      <c r="F43" s="305"/>
      <c r="G43" s="305"/>
      <c r="H43" s="305"/>
      <c r="I43" s="305"/>
      <c r="J43" s="102" t="str">
        <f>IF(AND('Mapa final'!$AB$115="Muy Alta",'Mapa final'!$AD$115="Leve"),CONCATENATE("R38C",'Mapa final'!$R$115),"")</f>
        <v/>
      </c>
      <c r="K43" s="41" t="str">
        <f>IF(AND('Mapa final'!$AB$116="Muy Alta",'Mapa final'!$AD$116="Leve"),CONCATENATE("R38C",'Mapa final'!$R$116),"")</f>
        <v/>
      </c>
      <c r="L43" s="103" t="str">
        <f>IF(AND('Mapa final'!$AB$117="Muy Alta",'Mapa final'!$AD$117="Leve"),CONCATENATE("R38C",'Mapa final'!$R$117),"")</f>
        <v/>
      </c>
      <c r="M43" s="102" t="str">
        <f>IF(AND('Mapa final'!$AB$115="Muy Alta",'Mapa final'!$AD$115="Menor"),CONCATENATE("R38C",'Mapa final'!$R$115),"")</f>
        <v/>
      </c>
      <c r="N43" s="41" t="str">
        <f>IF(AND('Mapa final'!$AB$116="Muy Alta",'Mapa final'!$AD$116="Menor"),CONCATENATE("R38C",'Mapa final'!$R$116),"")</f>
        <v/>
      </c>
      <c r="O43" s="103" t="str">
        <f>IF(AND('Mapa final'!$AB$117="Muy Alta",'Mapa final'!$AD$117="Menor"),CONCATENATE("R38C",'Mapa final'!$R$117),"")</f>
        <v/>
      </c>
      <c r="P43" s="102" t="str">
        <f>IF(AND('Mapa final'!$AB$115="Muy Alta",'Mapa final'!$AD$115="Moderado"),CONCATENATE("R38C",'Mapa final'!$R$115),"")</f>
        <v/>
      </c>
      <c r="Q43" s="41" t="str">
        <f>IF(AND('Mapa final'!$AB$116="Muy Alta",'Mapa final'!$AD$116="Moderado"),CONCATENATE("R38C",'Mapa final'!$R$116),"")</f>
        <v/>
      </c>
      <c r="R43" s="103" t="str">
        <f>IF(AND('Mapa final'!$AB$117="Muy Alta",'Mapa final'!$AD$117="Moderado"),CONCATENATE("R38C",'Mapa final'!$R$117),"")</f>
        <v/>
      </c>
      <c r="S43" s="102" t="str">
        <f>IF(AND('Mapa final'!$AB$115="Muy Alta",'Mapa final'!$AD$115="Mayor"),CONCATENATE("R38C",'Mapa final'!$R$115),"")</f>
        <v/>
      </c>
      <c r="T43" s="41" t="str">
        <f>IF(AND('Mapa final'!$AB$116="Muy Alta",'Mapa final'!$AD$116="Mayor"),CONCATENATE("R38C",'Mapa final'!$R$116),"")</f>
        <v/>
      </c>
      <c r="U43" s="103" t="str">
        <f>IF(AND('Mapa final'!$AB$117="Muy Alta",'Mapa final'!$AD$117="Mayor"),CONCATENATE("R38C",'Mapa final'!$R$117),"")</f>
        <v/>
      </c>
      <c r="V43" s="42" t="str">
        <f>IF(AND('Mapa final'!$AB$115="Muy Alta",'Mapa final'!$AD$115="Catastrófico"),CONCATENATE("R38C",'Mapa final'!$R$115),"")</f>
        <v/>
      </c>
      <c r="W43" s="43" t="str">
        <f>IF(AND('Mapa final'!$AB$116="Muy Alta",'Mapa final'!$AD$116="Catastrófico"),CONCATENATE("R38C",'Mapa final'!$R$116),"")</f>
        <v/>
      </c>
      <c r="X43" s="97" t="str">
        <f>IF(AND('Mapa final'!$AB$117="Muy Alta",'Mapa final'!$AD$117="Catastrófico"),CONCATENATE("R38C",'Mapa final'!$R$117),"")</f>
        <v/>
      </c>
      <c r="Y43" s="55"/>
      <c r="Z43" s="310"/>
      <c r="AA43" s="311"/>
      <c r="AB43" s="311"/>
      <c r="AC43" s="311"/>
      <c r="AD43" s="311"/>
      <c r="AE43" s="312"/>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row>
    <row r="44" spans="1:61" ht="15" customHeight="1" x14ac:dyDescent="0.25">
      <c r="A44" s="55"/>
      <c r="B44" s="316"/>
      <c r="C44" s="316"/>
      <c r="D44" s="317"/>
      <c r="E44" s="306"/>
      <c r="F44" s="305"/>
      <c r="G44" s="305"/>
      <c r="H44" s="305"/>
      <c r="I44" s="305"/>
      <c r="J44" s="102" t="str">
        <f>IF(AND('Mapa final'!$AB$118="Muy Alta",'Mapa final'!$AD$118="Leve"),CONCATENATE("R39C",'Mapa final'!$R$118),"")</f>
        <v/>
      </c>
      <c r="K44" s="41" t="str">
        <f>IF(AND('Mapa final'!$AB$119="Muy Alta",'Mapa final'!$AD$119="Leve"),CONCATENATE("R39C",'Mapa final'!$R$119),"")</f>
        <v/>
      </c>
      <c r="L44" s="103" t="str">
        <f>IF(AND('Mapa final'!$AB$120="Muy Alta",'Mapa final'!$AD$120="Leve"),CONCATENATE("R39C",'Mapa final'!$R$120),"")</f>
        <v/>
      </c>
      <c r="M44" s="102" t="str">
        <f>IF(AND('Mapa final'!$AB$118="Muy Alta",'Mapa final'!$AD$118="Menor"),CONCATENATE("R39C",'Mapa final'!$R$118),"")</f>
        <v/>
      </c>
      <c r="N44" s="41" t="str">
        <f>IF(AND('Mapa final'!$AB$119="Muy Alta",'Mapa final'!$AD$119="Menor"),CONCATENATE("R39C",'Mapa final'!$R$119),"")</f>
        <v/>
      </c>
      <c r="O44" s="103" t="str">
        <f>IF(AND('Mapa final'!$AB$120="Muy Alta",'Mapa final'!$AD$120="Menor"),CONCATENATE("R39C",'Mapa final'!$R$120),"")</f>
        <v/>
      </c>
      <c r="P44" s="102" t="str">
        <f>IF(AND('Mapa final'!$AB$118="Muy Alta",'Mapa final'!$AD$118="Moderado"),CONCATENATE("R39C",'Mapa final'!$R$118),"")</f>
        <v/>
      </c>
      <c r="Q44" s="41" t="str">
        <f>IF(AND('Mapa final'!$AB$119="Muy Alta",'Mapa final'!$AD$119="Moderado"),CONCATENATE("R39C",'Mapa final'!$R$119),"")</f>
        <v/>
      </c>
      <c r="R44" s="103" t="str">
        <f>IF(AND('Mapa final'!$AB$120="Muy Alta",'Mapa final'!$AD$120="Moderado"),CONCATENATE("R39C",'Mapa final'!$R$120),"")</f>
        <v/>
      </c>
      <c r="S44" s="102" t="str">
        <f>IF(AND('Mapa final'!$AB$118="Muy Alta",'Mapa final'!$AD$118="Mayor"),CONCATENATE("R39C",'Mapa final'!$R$118),"")</f>
        <v/>
      </c>
      <c r="T44" s="41" t="str">
        <f>IF(AND('Mapa final'!$AB$119="Muy Alta",'Mapa final'!$AD$119="Mayor"),CONCATENATE("R39C",'Mapa final'!$R$119),"")</f>
        <v/>
      </c>
      <c r="U44" s="103" t="str">
        <f>IF(AND('Mapa final'!$AB$120="Muy Alta",'Mapa final'!$AD$120="Mayor"),CONCATENATE("R39C",'Mapa final'!$R$120),"")</f>
        <v/>
      </c>
      <c r="V44" s="42" t="str">
        <f>IF(AND('Mapa final'!$AB$118="Muy Alta",'Mapa final'!$AD$118="Catastrófico"),CONCATENATE("R39C",'Mapa final'!$R$118),"")</f>
        <v/>
      </c>
      <c r="W44" s="43" t="str">
        <f>IF(AND('Mapa final'!$AB$119="Muy Alta",'Mapa final'!$AD$119="Catastrófico"),CONCATENATE("R39C",'Mapa final'!$R$119),"")</f>
        <v/>
      </c>
      <c r="X44" s="97" t="str">
        <f>IF(AND('Mapa final'!$AB$120="Muy Alta",'Mapa final'!$AD$120="Catastrófico"),CONCATENATE("R39C",'Mapa final'!$R$120),"")</f>
        <v/>
      </c>
      <c r="Y44" s="55"/>
      <c r="Z44" s="310"/>
      <c r="AA44" s="311"/>
      <c r="AB44" s="311"/>
      <c r="AC44" s="311"/>
      <c r="AD44" s="311"/>
      <c r="AE44" s="312"/>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row>
    <row r="45" spans="1:61" ht="15" customHeight="1" x14ac:dyDescent="0.25">
      <c r="A45" s="55"/>
      <c r="B45" s="316"/>
      <c r="C45" s="316"/>
      <c r="D45" s="317"/>
      <c r="E45" s="306"/>
      <c r="F45" s="305"/>
      <c r="G45" s="305"/>
      <c r="H45" s="305"/>
      <c r="I45" s="305"/>
      <c r="J45" s="102" t="str">
        <f>IF(AND('Mapa final'!$AB$121="Muy Alta",'Mapa final'!$AD$121="Leve"),CONCATENATE("R40C",'Mapa final'!$R$121),"")</f>
        <v/>
      </c>
      <c r="K45" s="41" t="str">
        <f>IF(AND('Mapa final'!$AB$122="Muy Alta",'Mapa final'!$AD$122="Leve"),CONCATENATE("R40C",'Mapa final'!$R$122),"")</f>
        <v/>
      </c>
      <c r="L45" s="103" t="str">
        <f>IF(AND('Mapa final'!$AB$123="Muy Alta",'Mapa final'!$AD$123="Leve"),CONCATENATE("R40C",'Mapa final'!$R$123),"")</f>
        <v/>
      </c>
      <c r="M45" s="102" t="str">
        <f>IF(AND('Mapa final'!$AB$121="Muy Alta",'Mapa final'!$AD$121="Menor"),CONCATENATE("R40C",'Mapa final'!$R$121),"")</f>
        <v/>
      </c>
      <c r="N45" s="41" t="str">
        <f>IF(AND('Mapa final'!$AB$122="Muy Alta",'Mapa final'!$AD$122="Menor"),CONCATENATE("R40C",'Mapa final'!$R$122),"")</f>
        <v/>
      </c>
      <c r="O45" s="103" t="str">
        <f>IF(AND('Mapa final'!$AB$123="Muy Alta",'Mapa final'!$AD$123="Menor"),CONCATENATE("R40C",'Mapa final'!$R$123),"")</f>
        <v/>
      </c>
      <c r="P45" s="102" t="str">
        <f>IF(AND('Mapa final'!$AB$121="Muy Alta",'Mapa final'!$AD$121="Moderado"),CONCATENATE("R40C",'Mapa final'!$R$121),"")</f>
        <v/>
      </c>
      <c r="Q45" s="41" t="str">
        <f>IF(AND('Mapa final'!$AB$122="Muy Alta",'Mapa final'!$AD$122="Moderado"),CONCATENATE("R40C",'Mapa final'!$R$122),"")</f>
        <v/>
      </c>
      <c r="R45" s="103" t="str">
        <f>IF(AND('Mapa final'!$AB$123="Muy Alta",'Mapa final'!$AD$123="Moderado"),CONCATENATE("R40C",'Mapa final'!$R$123),"")</f>
        <v/>
      </c>
      <c r="S45" s="102" t="str">
        <f>IF(AND('Mapa final'!$AB$121="Muy Alta",'Mapa final'!$AD$121="Mayor"),CONCATENATE("R40C",'Mapa final'!$R$121),"")</f>
        <v/>
      </c>
      <c r="T45" s="41" t="str">
        <f>IF(AND('Mapa final'!$AB$122="Muy Alta",'Mapa final'!$AD$122="Mayor"),CONCATENATE("R40C",'Mapa final'!$R$122),"")</f>
        <v/>
      </c>
      <c r="U45" s="103" t="str">
        <f>IF(AND('Mapa final'!$AB$123="Muy Alta",'Mapa final'!$AD$123="Mayor"),CONCATENATE("R40C",'Mapa final'!$R$123),"")</f>
        <v/>
      </c>
      <c r="V45" s="42" t="str">
        <f>IF(AND('Mapa final'!$AB$121="Muy Alta",'Mapa final'!$AD$121="Catastrófico"),CONCATENATE("R40C",'Mapa final'!$R$121),"")</f>
        <v/>
      </c>
      <c r="W45" s="43" t="str">
        <f>IF(AND('Mapa final'!$AB$122="Muy Alta",'Mapa final'!$AD$122="Catastrófico"),CONCATENATE("R40C",'Mapa final'!$R$122),"")</f>
        <v/>
      </c>
      <c r="X45" s="97" t="str">
        <f>IF(AND('Mapa final'!$AB$123="Muy Alta",'Mapa final'!$AD$123="Catastrófico"),CONCATENATE("R40C",'Mapa final'!$R$123),"")</f>
        <v/>
      </c>
      <c r="Y45" s="55"/>
      <c r="Z45" s="310"/>
      <c r="AA45" s="311"/>
      <c r="AB45" s="311"/>
      <c r="AC45" s="311"/>
      <c r="AD45" s="311"/>
      <c r="AE45" s="312"/>
      <c r="AF45" s="55"/>
      <c r="AG45" s="55"/>
      <c r="AH45" s="55"/>
      <c r="AI45" s="55"/>
      <c r="AJ45" s="55"/>
      <c r="AK45" s="55"/>
      <c r="AL45" s="55"/>
      <c r="AM45" s="55"/>
      <c r="AN45" s="55"/>
      <c r="AO45" s="55"/>
      <c r="AP45" s="55"/>
      <c r="AQ45" s="55"/>
      <c r="AR45" s="55"/>
      <c r="AS45" s="55"/>
      <c r="AT45" s="55"/>
      <c r="AU45" s="55"/>
      <c r="AV45" s="55"/>
      <c r="AW45" s="55"/>
      <c r="AX45" s="55"/>
      <c r="AY45" s="55"/>
      <c r="AZ45" s="55"/>
      <c r="BA45" s="55"/>
      <c r="BB45" s="55"/>
      <c r="BC45" s="55"/>
      <c r="BD45" s="55"/>
      <c r="BE45" s="55"/>
      <c r="BF45" s="55"/>
      <c r="BG45" s="55"/>
      <c r="BH45" s="55"/>
      <c r="BI45" s="55"/>
    </row>
    <row r="46" spans="1:61" ht="15" customHeight="1" x14ac:dyDescent="0.25">
      <c r="A46" s="55"/>
      <c r="B46" s="316"/>
      <c r="C46" s="316"/>
      <c r="D46" s="317"/>
      <c r="E46" s="306"/>
      <c r="F46" s="305"/>
      <c r="G46" s="305"/>
      <c r="H46" s="305"/>
      <c r="I46" s="305"/>
      <c r="J46" s="102" t="str">
        <f>IF(AND('Mapa final'!$AB$124="Muy Alta",'Mapa final'!$AD$124="Leve"),CONCATENATE("R41C",'Mapa final'!$R$124),"")</f>
        <v/>
      </c>
      <c r="K46" s="41" t="str">
        <f>IF(AND('Mapa final'!$AB$125="Muy Alta",'Mapa final'!$AD$125="Leve"),CONCATENATE("R41C",'Mapa final'!$R$125),"")</f>
        <v/>
      </c>
      <c r="L46" s="103" t="str">
        <f>IF(AND('Mapa final'!$AB$126="Muy Alta",'Mapa final'!$AD$126="Leve"),CONCATENATE("R41C",'Mapa final'!$R$126),"")</f>
        <v/>
      </c>
      <c r="M46" s="102" t="str">
        <f>IF(AND('Mapa final'!$AB$124="Muy Alta",'Mapa final'!$AD$124="Menor"),CONCATENATE("R41C",'Mapa final'!$R$124),"")</f>
        <v/>
      </c>
      <c r="N46" s="41" t="str">
        <f>IF(AND('Mapa final'!$AB$125="Muy Alta",'Mapa final'!$AD$125="Menor"),CONCATENATE("R41C",'Mapa final'!$R$125),"")</f>
        <v/>
      </c>
      <c r="O46" s="103" t="str">
        <f>IF(AND('Mapa final'!$AB$126="Muy Alta",'Mapa final'!$AD$126="Menor"),CONCATENATE("R41C",'Mapa final'!$R$126),"")</f>
        <v/>
      </c>
      <c r="P46" s="102" t="str">
        <f>IF(AND('Mapa final'!$AB$124="Muy Alta",'Mapa final'!$AD$124="Moderado"),CONCATENATE("R41C",'Mapa final'!$R$124),"")</f>
        <v/>
      </c>
      <c r="Q46" s="41" t="str">
        <f>IF(AND('Mapa final'!$AB$125="Muy Alta",'Mapa final'!$AD$125="Moderado"),CONCATENATE("R41C",'Mapa final'!$R$125),"")</f>
        <v/>
      </c>
      <c r="R46" s="103" t="str">
        <f>IF(AND('Mapa final'!$AB$126="Muy Alta",'Mapa final'!$AD$126="Moderado"),CONCATENATE("R41C",'Mapa final'!$R$126),"")</f>
        <v/>
      </c>
      <c r="S46" s="102" t="str">
        <f>IF(AND('Mapa final'!$AB$124="Muy Alta",'Mapa final'!$AD$124="Mayor"),CONCATENATE("R41C",'Mapa final'!$R$124),"")</f>
        <v/>
      </c>
      <c r="T46" s="41" t="str">
        <f>IF(AND('Mapa final'!$AB$125="Muy Alta",'Mapa final'!$AD$125="Mayor"),CONCATENATE("R41C",'Mapa final'!$R$125),"")</f>
        <v/>
      </c>
      <c r="U46" s="103" t="str">
        <f>IF(AND('Mapa final'!$AB$126="Muy Alta",'Mapa final'!$AD$126="Mayor"),CONCATENATE("R41C",'Mapa final'!$R$126),"")</f>
        <v/>
      </c>
      <c r="V46" s="42" t="str">
        <f>IF(AND('Mapa final'!$AB$124="Muy Alta",'Mapa final'!$AD$124="Catastrófico"),CONCATENATE("R41C",'Mapa final'!$R$124),"")</f>
        <v/>
      </c>
      <c r="W46" s="43" t="str">
        <f>IF(AND('Mapa final'!$AB$125="Muy Alta",'Mapa final'!$AD$125="Catastrófico"),CONCATENATE("R41C",'Mapa final'!$R$125),"")</f>
        <v/>
      </c>
      <c r="X46" s="97" t="str">
        <f>IF(AND('Mapa final'!$AB$126="Muy Alta",'Mapa final'!$AD$126="Catastrófico"),CONCATENATE("R41C",'Mapa final'!$R$126),"")</f>
        <v/>
      </c>
      <c r="Y46" s="55"/>
      <c r="Z46" s="310"/>
      <c r="AA46" s="311"/>
      <c r="AB46" s="311"/>
      <c r="AC46" s="311"/>
      <c r="AD46" s="311"/>
      <c r="AE46" s="312"/>
      <c r="AF46" s="55"/>
      <c r="AG46" s="55"/>
      <c r="AH46" s="55"/>
      <c r="AI46" s="55"/>
      <c r="AJ46" s="55"/>
      <c r="AK46" s="55"/>
      <c r="AL46" s="55"/>
      <c r="AM46" s="55"/>
      <c r="AN46" s="55"/>
      <c r="AO46" s="55"/>
      <c r="AP46" s="55"/>
      <c r="AQ46" s="55"/>
      <c r="AR46" s="55"/>
      <c r="AS46" s="55"/>
      <c r="AT46" s="55"/>
      <c r="AU46" s="55"/>
      <c r="AV46" s="55"/>
      <c r="AW46" s="55"/>
      <c r="AX46" s="55"/>
      <c r="AY46" s="55"/>
      <c r="AZ46" s="55"/>
      <c r="BA46" s="55"/>
      <c r="BB46" s="55"/>
      <c r="BC46" s="55"/>
      <c r="BD46" s="55"/>
      <c r="BE46" s="55"/>
      <c r="BF46" s="55"/>
      <c r="BG46" s="55"/>
      <c r="BH46" s="55"/>
      <c r="BI46" s="55"/>
    </row>
    <row r="47" spans="1:61" ht="15" customHeight="1" x14ac:dyDescent="0.25">
      <c r="A47" s="55"/>
      <c r="B47" s="316"/>
      <c r="C47" s="316"/>
      <c r="D47" s="317"/>
      <c r="E47" s="306"/>
      <c r="F47" s="305"/>
      <c r="G47" s="305"/>
      <c r="H47" s="305"/>
      <c r="I47" s="305"/>
      <c r="J47" s="102" t="str">
        <f>IF(AND('Mapa final'!$AB$127="Muy Alta",'Mapa final'!$AD$127="Leve"),CONCATENATE("R42C",'Mapa final'!$R$127),"")</f>
        <v/>
      </c>
      <c r="K47" s="41" t="str">
        <f>IF(AND('Mapa final'!$AB$128="Muy Alta",'Mapa final'!$AD$128="Leve"),CONCATENATE("R42C",'Mapa final'!$R$128),"")</f>
        <v/>
      </c>
      <c r="L47" s="103" t="str">
        <f>IF(AND('Mapa final'!$AB$129="Muy Alta",'Mapa final'!$AD$129="Leve"),CONCATENATE("R42C",'Mapa final'!$R$129),"")</f>
        <v/>
      </c>
      <c r="M47" s="102" t="str">
        <f>IF(AND('Mapa final'!$AB$127="Muy Alta",'Mapa final'!$AD$127="Menor"),CONCATENATE("R42C",'Mapa final'!$R$127),"")</f>
        <v/>
      </c>
      <c r="N47" s="41" t="str">
        <f>IF(AND('Mapa final'!$AB$128="Muy Alta",'Mapa final'!$AD$128="Menor"),CONCATENATE("R42C",'Mapa final'!$R$128),"")</f>
        <v/>
      </c>
      <c r="O47" s="103" t="str">
        <f>IF(AND('Mapa final'!$AB$129="Muy Alta",'Mapa final'!$AD$129="Menor"),CONCATENATE("R42C",'Mapa final'!$R$129),"")</f>
        <v/>
      </c>
      <c r="P47" s="102" t="str">
        <f>IF(AND('Mapa final'!$AB$127="Muy Alta",'Mapa final'!$AD$127="Moderado"),CONCATENATE("R42C",'Mapa final'!$R$127),"")</f>
        <v/>
      </c>
      <c r="Q47" s="41" t="str">
        <f>IF(AND('Mapa final'!$AB$128="Muy Alta",'Mapa final'!$AD$128="Moderado"),CONCATENATE("R42C",'Mapa final'!$R$128),"")</f>
        <v/>
      </c>
      <c r="R47" s="103" t="str">
        <f>IF(AND('Mapa final'!$AB$129="Muy Alta",'Mapa final'!$AD$129="Moderado"),CONCATENATE("R42C",'Mapa final'!$R$129),"")</f>
        <v/>
      </c>
      <c r="S47" s="102" t="str">
        <f>IF(AND('Mapa final'!$AB$127="Muy Alta",'Mapa final'!$AD$127="Mayor"),CONCATENATE("R42C",'Mapa final'!$R$127),"")</f>
        <v/>
      </c>
      <c r="T47" s="41" t="str">
        <f>IF(AND('Mapa final'!$AB$128="Muy Alta",'Mapa final'!$AD$128="Mayor"),CONCATENATE("R42C",'Mapa final'!$R$128),"")</f>
        <v/>
      </c>
      <c r="U47" s="103" t="str">
        <f>IF(AND('Mapa final'!$AB$129="Muy Alta",'Mapa final'!$AD$129="Mayor"),CONCATENATE("R42C",'Mapa final'!$R$129),"")</f>
        <v/>
      </c>
      <c r="V47" s="42" t="str">
        <f>IF(AND('Mapa final'!$AB$127="Muy Alta",'Mapa final'!$AD$127="Catastrófico"),CONCATENATE("R42C",'Mapa final'!$R$127),"")</f>
        <v/>
      </c>
      <c r="W47" s="43" t="str">
        <f>IF(AND('Mapa final'!$AB$128="Muy Alta",'Mapa final'!$AD$128="Catastrófico"),CONCATENATE("R42C",'Mapa final'!$R$128),"")</f>
        <v/>
      </c>
      <c r="X47" s="97" t="str">
        <f>IF(AND('Mapa final'!$AB$129="Muy Alta",'Mapa final'!$AD$129="Catastrófico"),CONCATENATE("R42C",'Mapa final'!$R$129),"")</f>
        <v/>
      </c>
      <c r="Y47" s="55"/>
      <c r="Z47" s="310"/>
      <c r="AA47" s="311"/>
      <c r="AB47" s="311"/>
      <c r="AC47" s="311"/>
      <c r="AD47" s="311"/>
      <c r="AE47" s="312"/>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5"/>
      <c r="BI47" s="55"/>
    </row>
    <row r="48" spans="1:61" ht="15" customHeight="1" x14ac:dyDescent="0.25">
      <c r="A48" s="55"/>
      <c r="B48" s="316"/>
      <c r="C48" s="316"/>
      <c r="D48" s="317"/>
      <c r="E48" s="306"/>
      <c r="F48" s="305"/>
      <c r="G48" s="305"/>
      <c r="H48" s="305"/>
      <c r="I48" s="305"/>
      <c r="J48" s="102" t="str">
        <f>IF(AND('Mapa final'!$AB$130="Muy Alta",'Mapa final'!$AD$130="Leve"),CONCATENATE("R43C",'Mapa final'!$R$130),"")</f>
        <v/>
      </c>
      <c r="K48" s="41" t="str">
        <f>IF(AND('Mapa final'!$AB$131="Muy Alta",'Mapa final'!$AD$131="Leve"),CONCATENATE("R43C",'Mapa final'!$R$131),"")</f>
        <v/>
      </c>
      <c r="L48" s="103" t="str">
        <f>IF(AND('Mapa final'!$AB$132="Muy Alta",'Mapa final'!$AD$132="Leve"),CONCATENATE("R43C",'Mapa final'!$R$132),"")</f>
        <v/>
      </c>
      <c r="M48" s="102" t="str">
        <f>IF(AND('Mapa final'!$AB$130="Muy Alta",'Mapa final'!$AD$130="Menor"),CONCATENATE("R43C",'Mapa final'!$R$130),"")</f>
        <v/>
      </c>
      <c r="N48" s="41" t="str">
        <f>IF(AND('Mapa final'!$AB$131="Muy Alta",'Mapa final'!$AD$131="Menor"),CONCATENATE("R43C",'Mapa final'!$R$131),"")</f>
        <v/>
      </c>
      <c r="O48" s="103" t="str">
        <f>IF(AND('Mapa final'!$AB$132="Muy Alta",'Mapa final'!$AD$132="Menor"),CONCATENATE("R43C",'Mapa final'!$R$132),"")</f>
        <v/>
      </c>
      <c r="P48" s="102" t="str">
        <f>IF(AND('Mapa final'!$AB$130="Muy Alta",'Mapa final'!$AD$130="Moderado"),CONCATENATE("R43C",'Mapa final'!$R$130),"")</f>
        <v/>
      </c>
      <c r="Q48" s="41" t="str">
        <f>IF(AND('Mapa final'!$AB$131="Muy Alta",'Mapa final'!$AD$131="Moderado"),CONCATENATE("R43C",'Mapa final'!$R$131),"")</f>
        <v/>
      </c>
      <c r="R48" s="103" t="str">
        <f>IF(AND('Mapa final'!$AB$132="Muy Alta",'Mapa final'!$AD$132="Moderado"),CONCATENATE("R43C",'Mapa final'!$R$132),"")</f>
        <v/>
      </c>
      <c r="S48" s="102" t="str">
        <f>IF(AND('Mapa final'!$AB$130="Muy Alta",'Mapa final'!$AD$130="Mayor"),CONCATENATE("R43C",'Mapa final'!$R$130),"")</f>
        <v/>
      </c>
      <c r="T48" s="41" t="str">
        <f>IF(AND('Mapa final'!$AB$131="Muy Alta",'Mapa final'!$AD$131="Mayor"),CONCATENATE("R43C",'Mapa final'!$R$131),"")</f>
        <v/>
      </c>
      <c r="U48" s="103" t="str">
        <f>IF(AND('Mapa final'!$AB$132="Muy Alta",'Mapa final'!$AD$132="Mayor"),CONCATENATE("R43C",'Mapa final'!$R$132),"")</f>
        <v/>
      </c>
      <c r="V48" s="42" t="str">
        <f>IF(AND('Mapa final'!$AB$130="Muy Alta",'Mapa final'!$AD$130="Catastrófico"),CONCATENATE("R43C",'Mapa final'!$R$130),"")</f>
        <v/>
      </c>
      <c r="W48" s="43" t="str">
        <f>IF(AND('Mapa final'!$AB$131="Muy Alta",'Mapa final'!$AD$131="Catastrófico"),CONCATENATE("R43C",'Mapa final'!$R$131),"")</f>
        <v/>
      </c>
      <c r="X48" s="97" t="str">
        <f>IF(AND('Mapa final'!$AB$132="Muy Alta",'Mapa final'!$AD$132="Catastrófico"),CONCATENATE("R43C",'Mapa final'!$R$132),"")</f>
        <v/>
      </c>
      <c r="Y48" s="55"/>
      <c r="Z48" s="310"/>
      <c r="AA48" s="311"/>
      <c r="AB48" s="311"/>
      <c r="AC48" s="311"/>
      <c r="AD48" s="311"/>
      <c r="AE48" s="312"/>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5"/>
      <c r="BI48" s="55"/>
    </row>
    <row r="49" spans="1:61" ht="15" customHeight="1" x14ac:dyDescent="0.25">
      <c r="A49" s="55"/>
      <c r="B49" s="316"/>
      <c r="C49" s="316"/>
      <c r="D49" s="317"/>
      <c r="E49" s="306"/>
      <c r="F49" s="305"/>
      <c r="G49" s="305"/>
      <c r="H49" s="305"/>
      <c r="I49" s="305"/>
      <c r="J49" s="102" t="str">
        <f>IF(AND('Mapa final'!$AB$133="Muy Alta",'Mapa final'!$AD$133="Leve"),CONCATENATE("R44C",'Mapa final'!$R$133),"")</f>
        <v/>
      </c>
      <c r="K49" s="41" t="str">
        <f>IF(AND('Mapa final'!$AB$134="Muy Alta",'Mapa final'!$AD$134="Leve"),CONCATENATE("R44C",'Mapa final'!$R$134),"")</f>
        <v/>
      </c>
      <c r="L49" s="103" t="str">
        <f>IF(AND('Mapa final'!$AB$135="Muy Alta",'Mapa final'!$AD$135="Leve"),CONCATENATE("R44C",'Mapa final'!$R$135),"")</f>
        <v/>
      </c>
      <c r="M49" s="102" t="str">
        <f>IF(AND('Mapa final'!$AB$133="Muy Alta",'Mapa final'!$AD$133="Menor"),CONCATENATE("R44C",'Mapa final'!$R$133),"")</f>
        <v/>
      </c>
      <c r="N49" s="41" t="str">
        <f>IF(AND('Mapa final'!$AB$134="Muy Alta",'Mapa final'!$AD$134="Menor"),CONCATENATE("R44C",'Mapa final'!$R$134),"")</f>
        <v/>
      </c>
      <c r="O49" s="103" t="str">
        <f>IF(AND('Mapa final'!$AB$135="Muy Alta",'Mapa final'!$AD$135="Menor"),CONCATENATE("R44C",'Mapa final'!$R$135),"")</f>
        <v/>
      </c>
      <c r="P49" s="102" t="str">
        <f>IF(AND('Mapa final'!$AB$133="Muy Alta",'Mapa final'!$AD$133="Moderado"),CONCATENATE("R44C",'Mapa final'!$R$133),"")</f>
        <v/>
      </c>
      <c r="Q49" s="41" t="str">
        <f>IF(AND('Mapa final'!$AB$134="Muy Alta",'Mapa final'!$AD$134="Moderado"),CONCATENATE("R44C",'Mapa final'!$R$134),"")</f>
        <v/>
      </c>
      <c r="R49" s="103" t="str">
        <f>IF(AND('Mapa final'!$AB$135="Muy Alta",'Mapa final'!$AD$135="Moderado"),CONCATENATE("R44C",'Mapa final'!$R$135),"")</f>
        <v/>
      </c>
      <c r="S49" s="102" t="str">
        <f>IF(AND('Mapa final'!$AB$133="Muy Alta",'Mapa final'!$AD$133="Mayor"),CONCATENATE("R44C",'Mapa final'!$R$133),"")</f>
        <v/>
      </c>
      <c r="T49" s="41" t="str">
        <f>IF(AND('Mapa final'!$AB$134="Muy Alta",'Mapa final'!$AD$134="Mayor"),CONCATENATE("R44C",'Mapa final'!$R$134),"")</f>
        <v/>
      </c>
      <c r="U49" s="103" t="str">
        <f>IF(AND('Mapa final'!$AB$135="Muy Alta",'Mapa final'!$AD$135="Mayor"),CONCATENATE("R44C",'Mapa final'!$R$135),"")</f>
        <v/>
      </c>
      <c r="V49" s="42" t="str">
        <f>IF(AND('Mapa final'!$AB$133="Muy Alta",'Mapa final'!$AD$133="Catastrófico"),CONCATENATE("R44C",'Mapa final'!$R$133),"")</f>
        <v/>
      </c>
      <c r="W49" s="43" t="str">
        <f>IF(AND('Mapa final'!$AB$134="Muy Alta",'Mapa final'!$AD$134="Catastrófico"),CONCATENATE("R44C",'Mapa final'!$R$134),"")</f>
        <v/>
      </c>
      <c r="X49" s="97" t="str">
        <f>IF(AND('Mapa final'!$AB$135="Muy Alta",'Mapa final'!$AD$135="Catastrófico"),CONCATENATE("R44C",'Mapa final'!$R$135),"")</f>
        <v/>
      </c>
      <c r="Y49" s="55"/>
      <c r="Z49" s="310"/>
      <c r="AA49" s="311"/>
      <c r="AB49" s="311"/>
      <c r="AC49" s="311"/>
      <c r="AD49" s="311"/>
      <c r="AE49" s="312"/>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5"/>
      <c r="BI49" s="55"/>
    </row>
    <row r="50" spans="1:61" ht="15" customHeight="1" x14ac:dyDescent="0.25">
      <c r="A50" s="55"/>
      <c r="B50" s="316"/>
      <c r="C50" s="316"/>
      <c r="D50" s="317"/>
      <c r="E50" s="306"/>
      <c r="F50" s="305"/>
      <c r="G50" s="305"/>
      <c r="H50" s="305"/>
      <c r="I50" s="305"/>
      <c r="J50" s="102" t="str">
        <f>IF(AND('Mapa final'!$AB$136="Muy Alta",'Mapa final'!$AD$136="Leve"),CONCATENATE("R45C",'Mapa final'!$R$136),"")</f>
        <v/>
      </c>
      <c r="K50" s="41" t="str">
        <f>IF(AND('Mapa final'!$AB$137="Muy Alta",'Mapa final'!$AD$137="Leve"),CONCATENATE("R45C",'Mapa final'!$R$137),"")</f>
        <v/>
      </c>
      <c r="L50" s="103" t="str">
        <f>IF(AND('Mapa final'!$AB$138="Muy Alta",'Mapa final'!$AD$138="Leve"),CONCATENATE("R45C",'Mapa final'!$R$138),"")</f>
        <v/>
      </c>
      <c r="M50" s="102" t="str">
        <f>IF(AND('Mapa final'!$AB$136="Muy Alta",'Mapa final'!$AD$136="Menor"),CONCATENATE("R45C",'Mapa final'!$R$136),"")</f>
        <v/>
      </c>
      <c r="N50" s="41" t="str">
        <f>IF(AND('Mapa final'!$AB$137="Muy Alta",'Mapa final'!$AD$137="Menor"),CONCATENATE("R45C",'Mapa final'!$R$137),"")</f>
        <v/>
      </c>
      <c r="O50" s="103" t="str">
        <f>IF(AND('Mapa final'!$AB$138="Muy Alta",'Mapa final'!$AD$138="Menor"),CONCATENATE("R45C",'Mapa final'!$R$138),"")</f>
        <v/>
      </c>
      <c r="P50" s="102" t="str">
        <f>IF(AND('Mapa final'!$AB$136="Muy Alta",'Mapa final'!$AD$136="Moderado"),CONCATENATE("R45C",'Mapa final'!$R$136),"")</f>
        <v/>
      </c>
      <c r="Q50" s="41" t="str">
        <f>IF(AND('Mapa final'!$AB$137="Muy Alta",'Mapa final'!$AD$137="Moderado"),CONCATENATE("R45C",'Mapa final'!$R$137),"")</f>
        <v/>
      </c>
      <c r="R50" s="103" t="str">
        <f>IF(AND('Mapa final'!$AB$138="Muy Alta",'Mapa final'!$AD$138="Moderado"),CONCATENATE("R45C",'Mapa final'!$R$138),"")</f>
        <v/>
      </c>
      <c r="S50" s="102" t="str">
        <f>IF(AND('Mapa final'!$AB$136="Muy Alta",'Mapa final'!$AD$136="Mayor"),CONCATENATE("R45C",'Mapa final'!$R$136),"")</f>
        <v/>
      </c>
      <c r="T50" s="41" t="str">
        <f>IF(AND('Mapa final'!$AB$137="Muy Alta",'Mapa final'!$AD$137="Mayor"),CONCATENATE("R45C",'Mapa final'!$R$137),"")</f>
        <v/>
      </c>
      <c r="U50" s="103" t="str">
        <f>IF(AND('Mapa final'!$AB$138="Muy Alta",'Mapa final'!$AD$138="Mayor"),CONCATENATE("R45C",'Mapa final'!$R$138),"")</f>
        <v/>
      </c>
      <c r="V50" s="42" t="str">
        <f>IF(AND('Mapa final'!$AB$136="Muy Alta",'Mapa final'!$AD$136="Catastrófico"),CONCATENATE("R45C",'Mapa final'!$R$136),"")</f>
        <v/>
      </c>
      <c r="W50" s="43" t="str">
        <f>IF(AND('Mapa final'!$AB$137="Muy Alta",'Mapa final'!$AD$137="Catastrófico"),CONCATENATE("R45C",'Mapa final'!$R$137),"")</f>
        <v/>
      </c>
      <c r="X50" s="97" t="str">
        <f>IF(AND('Mapa final'!$AB$138="Muy Alta",'Mapa final'!$AD$138="Catastrófico"),CONCATENATE("R45C",'Mapa final'!$R$138),"")</f>
        <v/>
      </c>
      <c r="Y50" s="55"/>
      <c r="Z50" s="310"/>
      <c r="AA50" s="311"/>
      <c r="AB50" s="311"/>
      <c r="AC50" s="311"/>
      <c r="AD50" s="311"/>
      <c r="AE50" s="312"/>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5"/>
      <c r="BF50" s="55"/>
      <c r="BG50" s="55"/>
      <c r="BH50" s="55"/>
      <c r="BI50" s="55"/>
    </row>
    <row r="51" spans="1:61" ht="15" customHeight="1" x14ac:dyDescent="0.25">
      <c r="A51" s="55"/>
      <c r="B51" s="316"/>
      <c r="C51" s="316"/>
      <c r="D51" s="317"/>
      <c r="E51" s="306"/>
      <c r="F51" s="305"/>
      <c r="G51" s="305"/>
      <c r="H51" s="305"/>
      <c r="I51" s="305"/>
      <c r="J51" s="102" t="str">
        <f>IF(AND('Mapa final'!$AB$139="Muy Alta",'Mapa final'!$AD$139="Leve"),CONCATENATE("R46C",'Mapa final'!$R$139),"")</f>
        <v/>
      </c>
      <c r="K51" s="41" t="str">
        <f>IF(AND('Mapa final'!$AB$140="Muy Alta",'Mapa final'!$AD$140="Leve"),CONCATENATE("R46C",'Mapa final'!$R$140),"")</f>
        <v/>
      </c>
      <c r="L51" s="103" t="str">
        <f>IF(AND('Mapa final'!$AB$141="Muy Alta",'Mapa final'!$AD$141="Leve"),CONCATENATE("R46C",'Mapa final'!$R$141),"")</f>
        <v/>
      </c>
      <c r="M51" s="102" t="str">
        <f>IF(AND('Mapa final'!$AB$139="Muy Alta",'Mapa final'!$AD$139="Menor"),CONCATENATE("R46C",'Mapa final'!$R$139),"")</f>
        <v/>
      </c>
      <c r="N51" s="41" t="str">
        <f>IF(AND('Mapa final'!$AB$140="Muy Alta",'Mapa final'!$AD$140="Menor"),CONCATENATE("R46C",'Mapa final'!$R$140),"")</f>
        <v/>
      </c>
      <c r="O51" s="103" t="str">
        <f>IF(AND('Mapa final'!$AB$141="Muy Alta",'Mapa final'!$AD$141="Menor"),CONCATENATE("R46C",'Mapa final'!$R$141),"")</f>
        <v/>
      </c>
      <c r="P51" s="102" t="str">
        <f>IF(AND('Mapa final'!$AB$139="Muy Alta",'Mapa final'!$AD$139="Moderado"),CONCATENATE("R46C",'Mapa final'!$R$139),"")</f>
        <v/>
      </c>
      <c r="Q51" s="41" t="str">
        <f>IF(AND('Mapa final'!$AB$140="Muy Alta",'Mapa final'!$AD$140="Moderado"),CONCATENATE("R46C",'Mapa final'!$R$140),"")</f>
        <v/>
      </c>
      <c r="R51" s="103" t="str">
        <f>IF(AND('Mapa final'!$AB$141="Muy Alta",'Mapa final'!$AD$141="Moderado"),CONCATENATE("R46C",'Mapa final'!$R$141),"")</f>
        <v/>
      </c>
      <c r="S51" s="102" t="str">
        <f>IF(AND('Mapa final'!$AB$139="Muy Alta",'Mapa final'!$AD$139="Mayor"),CONCATENATE("R46C",'Mapa final'!$R$139),"")</f>
        <v/>
      </c>
      <c r="T51" s="41" t="str">
        <f>IF(AND('Mapa final'!$AB$140="Muy Alta",'Mapa final'!$AD$140="Mayor"),CONCATENATE("R46C",'Mapa final'!$R$140),"")</f>
        <v/>
      </c>
      <c r="U51" s="103" t="str">
        <f>IF(AND('Mapa final'!$AB$141="Muy Alta",'Mapa final'!$AD$141="Mayor"),CONCATENATE("R46C",'Mapa final'!$R$141),"")</f>
        <v/>
      </c>
      <c r="V51" s="42" t="str">
        <f>IF(AND('Mapa final'!$AB$139="Muy Alta",'Mapa final'!$AD$139="Catastrófico"),CONCATENATE("R46C",'Mapa final'!$R$139),"")</f>
        <v/>
      </c>
      <c r="W51" s="43" t="str">
        <f>IF(AND('Mapa final'!$AB$140="Muy Alta",'Mapa final'!$AD$140="Catastrófico"),CONCATENATE("R46C",'Mapa final'!$R$140),"")</f>
        <v/>
      </c>
      <c r="X51" s="97" t="str">
        <f>IF(AND('Mapa final'!$AB$141="Muy Alta",'Mapa final'!$AD$141="Catastrófico"),CONCATENATE("R46C",'Mapa final'!$R$141),"")</f>
        <v/>
      </c>
      <c r="Y51" s="55"/>
      <c r="Z51" s="310"/>
      <c r="AA51" s="311"/>
      <c r="AB51" s="311"/>
      <c r="AC51" s="311"/>
      <c r="AD51" s="311"/>
      <c r="AE51" s="312"/>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row>
    <row r="52" spans="1:61" ht="15" customHeight="1" x14ac:dyDescent="0.25">
      <c r="A52" s="55"/>
      <c r="B52" s="316"/>
      <c r="C52" s="316"/>
      <c r="D52" s="317"/>
      <c r="E52" s="306"/>
      <c r="F52" s="305"/>
      <c r="G52" s="305"/>
      <c r="H52" s="305"/>
      <c r="I52" s="305"/>
      <c r="J52" s="102" t="str">
        <f>IF(AND('Mapa final'!$AB$142="Muy Alta",'Mapa final'!$AD$142="Leve"),CONCATENATE("R47C",'Mapa final'!$R$142),"")</f>
        <v/>
      </c>
      <c r="K52" s="41" t="str">
        <f>IF(AND('Mapa final'!$AB$143="Muy Alta",'Mapa final'!$AD$143="Leve"),CONCATENATE("R47C",'Mapa final'!$R$143),"")</f>
        <v/>
      </c>
      <c r="L52" s="103" t="str">
        <f>IF(AND('Mapa final'!$AB$144="Muy Alta",'Mapa final'!$AD$144="Leve"),CONCATENATE("R47C",'Mapa final'!$R$144),"")</f>
        <v/>
      </c>
      <c r="M52" s="102" t="str">
        <f>IF(AND('Mapa final'!$AB$142="Muy Alta",'Mapa final'!$AD$142="Menor"),CONCATENATE("R47C",'Mapa final'!$R$142),"")</f>
        <v/>
      </c>
      <c r="N52" s="41" t="str">
        <f>IF(AND('Mapa final'!$AB$143="Muy Alta",'Mapa final'!$AD$143="Menor"),CONCATENATE("R47C",'Mapa final'!$R$143),"")</f>
        <v/>
      </c>
      <c r="O52" s="103" t="str">
        <f>IF(AND('Mapa final'!$AB$144="Muy Alta",'Mapa final'!$AD$144="Menor"),CONCATENATE("R47C",'Mapa final'!$R$144),"")</f>
        <v/>
      </c>
      <c r="P52" s="102" t="str">
        <f>IF(AND('Mapa final'!$AB$142="Muy Alta",'Mapa final'!$AD$142="Moderado"),CONCATENATE("R47C",'Mapa final'!$R$142),"")</f>
        <v/>
      </c>
      <c r="Q52" s="41" t="str">
        <f>IF(AND('Mapa final'!$AB$143="Muy Alta",'Mapa final'!$AD$143="Moderado"),CONCATENATE("R47C",'Mapa final'!$R$143),"")</f>
        <v/>
      </c>
      <c r="R52" s="103" t="str">
        <f>IF(AND('Mapa final'!$AB$144="Muy Alta",'Mapa final'!$AD$144="Moderado"),CONCATENATE("R47C",'Mapa final'!$R$144),"")</f>
        <v/>
      </c>
      <c r="S52" s="102" t="str">
        <f>IF(AND('Mapa final'!$AB$142="Muy Alta",'Mapa final'!$AD$142="Mayor"),CONCATENATE("R47C",'Mapa final'!$R$142),"")</f>
        <v/>
      </c>
      <c r="T52" s="41" t="str">
        <f>IF(AND('Mapa final'!$AB$143="Muy Alta",'Mapa final'!$AD$143="Mayor"),CONCATENATE("R47C",'Mapa final'!$R$143),"")</f>
        <v/>
      </c>
      <c r="U52" s="103" t="str">
        <f>IF(AND('Mapa final'!$AB$144="Muy Alta",'Mapa final'!$AD$144="Mayor"),CONCATENATE("R47C",'Mapa final'!$R$144),"")</f>
        <v/>
      </c>
      <c r="V52" s="42" t="str">
        <f>IF(AND('Mapa final'!$AB$142="Muy Alta",'Mapa final'!$AD$142="Catastrófico"),CONCATENATE("R47C",'Mapa final'!$R$142),"")</f>
        <v/>
      </c>
      <c r="W52" s="43" t="str">
        <f>IF(AND('Mapa final'!$AB$143="Muy Alta",'Mapa final'!$AD$143="Catastrófico"),CONCATENATE("R47C",'Mapa final'!$R$143),"")</f>
        <v/>
      </c>
      <c r="X52" s="97" t="str">
        <f>IF(AND('Mapa final'!$AB$144="Muy Alta",'Mapa final'!$AD$144="Catastrófico"),CONCATENATE("R47C",'Mapa final'!$R$144),"")</f>
        <v/>
      </c>
      <c r="Y52" s="55"/>
      <c r="Z52" s="310"/>
      <c r="AA52" s="311"/>
      <c r="AB52" s="311"/>
      <c r="AC52" s="311"/>
      <c r="AD52" s="311"/>
      <c r="AE52" s="312"/>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row>
    <row r="53" spans="1:61" ht="15" customHeight="1" x14ac:dyDescent="0.25">
      <c r="A53" s="55"/>
      <c r="B53" s="316"/>
      <c r="C53" s="316"/>
      <c r="D53" s="317"/>
      <c r="E53" s="306"/>
      <c r="F53" s="305"/>
      <c r="G53" s="305"/>
      <c r="H53" s="305"/>
      <c r="I53" s="305"/>
      <c r="J53" s="102" t="str">
        <f>IF(AND('Mapa final'!$AB$145="Muy Alta",'Mapa final'!$AD$145="Leve"),CONCATENATE("R48C",'Mapa final'!$R$145),"")</f>
        <v/>
      </c>
      <c r="K53" s="41" t="str">
        <f>IF(AND('Mapa final'!$AB$146="Muy Alta",'Mapa final'!$AD$146="Leve"),CONCATENATE("R48C",'Mapa final'!$R$146),"")</f>
        <v/>
      </c>
      <c r="L53" s="103" t="str">
        <f>IF(AND('Mapa final'!$AB$147="Muy Alta",'Mapa final'!$AD$147="Leve"),CONCATENATE("R48C",'Mapa final'!$R$147),"")</f>
        <v/>
      </c>
      <c r="M53" s="102" t="str">
        <f>IF(AND('Mapa final'!$AB$145="Muy Alta",'Mapa final'!$AD$145="Menor"),CONCATENATE("R48C",'Mapa final'!$R$145),"")</f>
        <v/>
      </c>
      <c r="N53" s="41" t="str">
        <f>IF(AND('Mapa final'!$AB$146="Muy Alta",'Mapa final'!$AD$146="Menor"),CONCATENATE("R48C",'Mapa final'!$R$146),"")</f>
        <v/>
      </c>
      <c r="O53" s="103" t="str">
        <f>IF(AND('Mapa final'!$AB$147="Muy Alta",'Mapa final'!$AD$147="Menor"),CONCATENATE("R48C",'Mapa final'!$R$147),"")</f>
        <v/>
      </c>
      <c r="P53" s="102" t="str">
        <f>IF(AND('Mapa final'!$AB$145="Muy Alta",'Mapa final'!$AD$145="Moderado"),CONCATENATE("R48C",'Mapa final'!$R$145),"")</f>
        <v/>
      </c>
      <c r="Q53" s="41" t="str">
        <f>IF(AND('Mapa final'!$AB$146="Muy Alta",'Mapa final'!$AD$146="Moderado"),CONCATENATE("R48C",'Mapa final'!$R$146),"")</f>
        <v/>
      </c>
      <c r="R53" s="103" t="str">
        <f>IF(AND('Mapa final'!$AB$147="Muy Alta",'Mapa final'!$AD$147="Moderado"),CONCATENATE("R48C",'Mapa final'!$R$147),"")</f>
        <v/>
      </c>
      <c r="S53" s="102" t="str">
        <f>IF(AND('Mapa final'!$AB$145="Muy Alta",'Mapa final'!$AD$145="Mayor"),CONCATENATE("R48C",'Mapa final'!$R$145),"")</f>
        <v/>
      </c>
      <c r="T53" s="41" t="str">
        <f>IF(AND('Mapa final'!$AB$146="Muy Alta",'Mapa final'!$AD$146="Mayor"),CONCATENATE("R48C",'Mapa final'!$R$146),"")</f>
        <v/>
      </c>
      <c r="U53" s="103" t="str">
        <f>IF(AND('Mapa final'!$AB$147="Muy Alta",'Mapa final'!$AD$147="Mayor"),CONCATENATE("R48C",'Mapa final'!$R$147),"")</f>
        <v/>
      </c>
      <c r="V53" s="42" t="str">
        <f>IF(AND('Mapa final'!$AB$145="Muy Alta",'Mapa final'!$AD$145="Catastrófico"),CONCATENATE("R48C",'Mapa final'!$R$145),"")</f>
        <v/>
      </c>
      <c r="W53" s="43" t="str">
        <f>IF(AND('Mapa final'!$AB$146="Muy Alta",'Mapa final'!$AD$146="Catastrófico"),CONCATENATE("R48C",'Mapa final'!$R$146),"")</f>
        <v/>
      </c>
      <c r="X53" s="97" t="str">
        <f>IF(AND('Mapa final'!$AB$147="Muy Alta",'Mapa final'!$AD$147="Catastrófico"),CONCATENATE("R48C",'Mapa final'!$R$147),"")</f>
        <v/>
      </c>
      <c r="Y53" s="55"/>
      <c r="Z53" s="310"/>
      <c r="AA53" s="311"/>
      <c r="AB53" s="311"/>
      <c r="AC53" s="311"/>
      <c r="AD53" s="311"/>
      <c r="AE53" s="312"/>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row>
    <row r="54" spans="1:61" ht="15" customHeight="1" x14ac:dyDescent="0.25">
      <c r="A54" s="55"/>
      <c r="B54" s="316"/>
      <c r="C54" s="316"/>
      <c r="D54" s="317"/>
      <c r="E54" s="306"/>
      <c r="F54" s="305"/>
      <c r="G54" s="305"/>
      <c r="H54" s="305"/>
      <c r="I54" s="305"/>
      <c r="J54" s="102" t="str">
        <f>IF(AND('Mapa final'!$AB$148="Muy Alta",'Mapa final'!$AD$148="Leve"),CONCATENATE("R49C",'Mapa final'!$R$148),"")</f>
        <v/>
      </c>
      <c r="K54" s="41" t="str">
        <f>IF(AND('Mapa final'!$AB$149="Muy Alta",'Mapa final'!$AD$149="Leve"),CONCATENATE("R49C",'Mapa final'!$R$149),"")</f>
        <v/>
      </c>
      <c r="L54" s="103" t="str">
        <f>IF(AND('Mapa final'!$AB$150="Muy Alta",'Mapa final'!$AD$150="Leve"),CONCATENATE("R49C",'Mapa final'!$R$150),"")</f>
        <v/>
      </c>
      <c r="M54" s="102" t="str">
        <f>IF(AND('Mapa final'!$AB$148="Muy Alta",'Mapa final'!$AD$148="Menor"),CONCATENATE("R49C",'Mapa final'!$R$148),"")</f>
        <v/>
      </c>
      <c r="N54" s="41" t="str">
        <f>IF(AND('Mapa final'!$AB$149="Muy Alta",'Mapa final'!$AD$149="Menor"),CONCATENATE("R49C",'Mapa final'!$R$149),"")</f>
        <v/>
      </c>
      <c r="O54" s="103" t="str">
        <f>IF(AND('Mapa final'!$AB$150="Muy Alta",'Mapa final'!$AD$150="Menor"),CONCATENATE("R49C",'Mapa final'!$R$150),"")</f>
        <v/>
      </c>
      <c r="P54" s="102" t="str">
        <f>IF(AND('Mapa final'!$AB$148="Muy Alta",'Mapa final'!$AD$148="Moderado"),CONCATENATE("R49C",'Mapa final'!$R$148),"")</f>
        <v/>
      </c>
      <c r="Q54" s="41" t="str">
        <f>IF(AND('Mapa final'!$AB$149="Muy Alta",'Mapa final'!$AD$149="Moderado"),CONCATENATE("R49C",'Mapa final'!$R$149),"")</f>
        <v/>
      </c>
      <c r="R54" s="103" t="str">
        <f>IF(AND('Mapa final'!$AB$150="Muy Alta",'Mapa final'!$AD$150="Moderado"),CONCATENATE("R49C",'Mapa final'!$R$150),"")</f>
        <v/>
      </c>
      <c r="S54" s="102" t="str">
        <f>IF(AND('Mapa final'!$AB$148="Muy Alta",'Mapa final'!$AD$148="Mayor"),CONCATENATE("R49C",'Mapa final'!$R$148),"")</f>
        <v/>
      </c>
      <c r="T54" s="41" t="str">
        <f>IF(AND('Mapa final'!$AB$149="Muy Alta",'Mapa final'!$AD$149="Mayor"),CONCATENATE("R49C",'Mapa final'!$R$149),"")</f>
        <v/>
      </c>
      <c r="U54" s="103" t="str">
        <f>IF(AND('Mapa final'!$AB$150="Muy Alta",'Mapa final'!$AD$150="Mayor"),CONCATENATE("R49C",'Mapa final'!$R$150),"")</f>
        <v/>
      </c>
      <c r="V54" s="42" t="str">
        <f>IF(AND('Mapa final'!$AB$148="Muy Alta",'Mapa final'!$AD$148="Catastrófico"),CONCATENATE("R49C",'Mapa final'!$R$148),"")</f>
        <v/>
      </c>
      <c r="W54" s="43" t="str">
        <f>IF(AND('Mapa final'!$AB$149="Muy Alta",'Mapa final'!$AD$149="Catastrófico"),CONCATENATE("R49C",'Mapa final'!$R$149),"")</f>
        <v/>
      </c>
      <c r="X54" s="97" t="str">
        <f>IF(AND('Mapa final'!$AB$150="Muy Alta",'Mapa final'!$AD$150="Catastrófico"),CONCATENATE("R49C",'Mapa final'!$R$150),"")</f>
        <v/>
      </c>
      <c r="Y54" s="55"/>
      <c r="Z54" s="310"/>
      <c r="AA54" s="311"/>
      <c r="AB54" s="311"/>
      <c r="AC54" s="311"/>
      <c r="AD54" s="311"/>
      <c r="AE54" s="312"/>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row>
    <row r="55" spans="1:61" ht="15" customHeight="1" thickBot="1" x14ac:dyDescent="0.3">
      <c r="A55" s="55"/>
      <c r="B55" s="316"/>
      <c r="C55" s="316"/>
      <c r="D55" s="317"/>
      <c r="E55" s="306"/>
      <c r="F55" s="305"/>
      <c r="G55" s="305"/>
      <c r="H55" s="305"/>
      <c r="I55" s="305"/>
      <c r="J55" s="102" t="str">
        <f>IF(AND('Mapa final'!$AB$151="Muy Alta",'Mapa final'!$AD$151="Leve"),CONCATENATE("R50C",'Mapa final'!$R$151),"")</f>
        <v/>
      </c>
      <c r="K55" s="41" t="str">
        <f>IF(AND('Mapa final'!$AB$152="Muy Alta",'Mapa final'!$AD$152="Leve"),CONCATENATE("R50C",'Mapa final'!$R$152),"")</f>
        <v/>
      </c>
      <c r="L55" s="103" t="str">
        <f>IF(AND('Mapa final'!$AB$153="Muy Alta",'Mapa final'!$AD$153="Leve"),CONCATENATE("R50C",'Mapa final'!$R$153),"")</f>
        <v/>
      </c>
      <c r="M55" s="102" t="str">
        <f>IF(AND('Mapa final'!$AB$151="Muy Alta",'Mapa final'!$AD$151="Menor"),CONCATENATE("R50C",'Mapa final'!$R$151),"")</f>
        <v/>
      </c>
      <c r="N55" s="41" t="str">
        <f>IF(AND('Mapa final'!$AB$152="Muy Alta",'Mapa final'!$AD$152="Menor"),CONCATENATE("R50C",'Mapa final'!$R$152),"")</f>
        <v/>
      </c>
      <c r="O55" s="103" t="str">
        <f>IF(AND('Mapa final'!$AB$153="Muy Alta",'Mapa final'!$AD$153="Menor"),CONCATENATE("R50C",'Mapa final'!$R$153),"")</f>
        <v/>
      </c>
      <c r="P55" s="102" t="str">
        <f>IF(AND('Mapa final'!$AB$151="Muy Alta",'Mapa final'!$AD$151="Moderado"),CONCATENATE("R50C",'Mapa final'!$R$151),"")</f>
        <v/>
      </c>
      <c r="Q55" s="41" t="str">
        <f>IF(AND('Mapa final'!$AB$152="Muy Alta",'Mapa final'!$AD$152="Moderado"),CONCATENATE("R50C",'Mapa final'!$R$152),"")</f>
        <v/>
      </c>
      <c r="R55" s="103" t="str">
        <f>IF(AND('Mapa final'!$AB$153="Muy Alta",'Mapa final'!$AD$153="Moderado"),CONCATENATE("R50C",'Mapa final'!$R$153),"")</f>
        <v/>
      </c>
      <c r="S55" s="104" t="str">
        <f>IF(AND('Mapa final'!$AB$151="Muy Alta",'Mapa final'!$AD$151="Mayor"),CONCATENATE("R50C",'Mapa final'!$R$151),"")</f>
        <v/>
      </c>
      <c r="T55" s="105" t="str">
        <f>IF(AND('Mapa final'!$AB$152="Muy Alta",'Mapa final'!$AD$152="Mayor"),CONCATENATE("R50C",'Mapa final'!$R$152),"")</f>
        <v/>
      </c>
      <c r="U55" s="106" t="str">
        <f>IF(AND('Mapa final'!$AB$153="Muy Alta",'Mapa final'!$AD$153="Mayor"),CONCATENATE("R50C",'Mapa final'!$R$153),"")</f>
        <v/>
      </c>
      <c r="V55" s="44" t="str">
        <f>IF(AND('Mapa final'!$AB$151="Muy Alta",'Mapa final'!$AD$151="Catastrófico"),CONCATENATE("R50C",'Mapa final'!$R$151),"")</f>
        <v/>
      </c>
      <c r="W55" s="45" t="str">
        <f>IF(AND('Mapa final'!$AB$152="Muy Alta",'Mapa final'!$AD$152="Catastrófico"),CONCATENATE("R50C",'Mapa final'!$R$152),"")</f>
        <v/>
      </c>
      <c r="X55" s="98" t="str">
        <f>IF(AND('Mapa final'!$AB$153="Muy Alta",'Mapa final'!$AD$153="Catastrófico"),CONCATENATE("R50C",'Mapa final'!$R$153),"")</f>
        <v/>
      </c>
      <c r="Y55" s="55"/>
      <c r="Z55" s="310"/>
      <c r="AA55" s="311"/>
      <c r="AB55" s="311"/>
      <c r="AC55" s="311"/>
      <c r="AD55" s="311"/>
      <c r="AE55" s="312"/>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row>
    <row r="56" spans="1:61" ht="15" customHeight="1" x14ac:dyDescent="0.25">
      <c r="A56" s="55"/>
      <c r="B56" s="316"/>
      <c r="C56" s="316"/>
      <c r="D56" s="317"/>
      <c r="E56" s="302" t="s">
        <v>106</v>
      </c>
      <c r="F56" s="303"/>
      <c r="G56" s="303"/>
      <c r="H56" s="303"/>
      <c r="I56" s="303"/>
      <c r="J56" s="46" t="str">
        <f>IF(AND('Mapa final'!$AB$7="Alta",'Mapa final'!$AD$7="Leve"),CONCATENATE("R1C",'Mapa final'!$R$7),"")</f>
        <v/>
      </c>
      <c r="K56" s="47" t="str">
        <f>IF(AND('Mapa final'!$AB$8="Alta",'Mapa final'!$AD$8="Leve"),CONCATENATE("R1C",'Mapa final'!$R$8),"")</f>
        <v/>
      </c>
      <c r="L56" s="107" t="str">
        <f>IF(AND('Mapa final'!$AB$9="Alta",'Mapa final'!$AD$9="Leve"),CONCATENATE("R1C",'Mapa final'!$R$9),"")</f>
        <v/>
      </c>
      <c r="M56" s="46" t="str">
        <f>IF(AND('Mapa final'!$AB$7="Alta",'Mapa final'!$AD$7="Menor"),CONCATENATE("R1C",'Mapa final'!$R$7),"")</f>
        <v/>
      </c>
      <c r="N56" s="47" t="str">
        <f>IF(AND('Mapa final'!$AB$8="Alta",'Mapa final'!$AD$8="Menor"),CONCATENATE("R1C",'Mapa final'!$R$8),"")</f>
        <v/>
      </c>
      <c r="O56" s="107" t="str">
        <f>IF(AND('Mapa final'!$AB$9="Alta",'Mapa final'!$AD$9="Menor"),CONCATENATE("R1C",'Mapa final'!$R$9),"")</f>
        <v/>
      </c>
      <c r="P56" s="99" t="str">
        <f>IF(AND('Mapa final'!$AB$7="Alta",'Mapa final'!$AD$7="Moderado"),CONCATENATE("R1C",'Mapa final'!$R$7),"")</f>
        <v/>
      </c>
      <c r="Q56" s="100" t="str">
        <f>IF(AND('Mapa final'!$AB$8="Alta",'Mapa final'!$AD$8="Moderado"),CONCATENATE("R1C",'Mapa final'!$R$8),"")</f>
        <v/>
      </c>
      <c r="R56" s="101" t="str">
        <f>IF(AND('Mapa final'!$AB$9="Alta",'Mapa final'!$AD$9="Moderado"),CONCATENATE("R1C",'Mapa final'!$R$9),"")</f>
        <v/>
      </c>
      <c r="S56" s="99" t="str">
        <f>IF(AND('Mapa final'!$AB$7="Alta",'Mapa final'!$AD$7="Mayor"),CONCATENATE("R1C",'Mapa final'!$R$7),"")</f>
        <v/>
      </c>
      <c r="T56" s="100" t="str">
        <f>IF(AND('Mapa final'!$AB$8="Alta",'Mapa final'!$AD$8="Mayor"),CONCATENATE("R1C",'Mapa final'!$R$8),"")</f>
        <v/>
      </c>
      <c r="U56" s="101" t="str">
        <f>IF(AND('Mapa final'!$AB$9="Alta",'Mapa final'!$AD$9="Mayor"),CONCATENATE("R1C",'Mapa final'!$R$9),"")</f>
        <v/>
      </c>
      <c r="V56" s="39" t="str">
        <f>IF(AND('Mapa final'!$AB$7="Alta",'Mapa final'!$AD$7="Catastrófico"),CONCATENATE("R1C",'Mapa final'!$R$7),"")</f>
        <v/>
      </c>
      <c r="W56" s="40" t="str">
        <f>IF(AND('Mapa final'!$AB$8="Alta",'Mapa final'!$AD$8="Catastrófico"),CONCATENATE("R1C",'Mapa final'!$R$8),"")</f>
        <v/>
      </c>
      <c r="X56" s="96" t="str">
        <f>IF(AND('Mapa final'!$AB$9="Alta",'Mapa final'!$AD$9="Catastrófico"),CONCATENATE("R1C",'Mapa final'!$R$9),"")</f>
        <v/>
      </c>
      <c r="Y56" s="55"/>
      <c r="Z56" s="296" t="s">
        <v>74</v>
      </c>
      <c r="AA56" s="297"/>
      <c r="AB56" s="297"/>
      <c r="AC56" s="297"/>
      <c r="AD56" s="297"/>
      <c r="AE56" s="298"/>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row>
    <row r="57" spans="1:61" ht="15" customHeight="1" x14ac:dyDescent="0.25">
      <c r="A57" s="55"/>
      <c r="B57" s="316"/>
      <c r="C57" s="316"/>
      <c r="D57" s="317"/>
      <c r="E57" s="304"/>
      <c r="F57" s="305"/>
      <c r="G57" s="305"/>
      <c r="H57" s="305"/>
      <c r="I57" s="305"/>
      <c r="J57" s="48" t="str">
        <f>IF(AND('Mapa final'!$AB$10="Alta",'Mapa final'!$AD$10="Leve"),CONCATENATE("R2C",'Mapa final'!$R$10),"")</f>
        <v/>
      </c>
      <c r="K57" s="49" t="str">
        <f>IF(AND('Mapa final'!$AB$11="Alta",'Mapa final'!$AD$11="Leve"),CONCATENATE("R2C",'Mapa final'!$R$11),"")</f>
        <v/>
      </c>
      <c r="L57" s="108" t="str">
        <f>IF(AND('Mapa final'!$AB$12="Alta",'Mapa final'!$AD$12="Leve"),CONCATENATE("R2C",'Mapa final'!$R$12),"")</f>
        <v/>
      </c>
      <c r="M57" s="48" t="str">
        <f>IF(AND('Mapa final'!$AB$10="Alta",'Mapa final'!$AD$10="Menor"),CONCATENATE("R2C",'Mapa final'!$R$10),"")</f>
        <v/>
      </c>
      <c r="N57" s="49" t="str">
        <f>IF(AND('Mapa final'!$AB$11="Alta",'Mapa final'!$AD$11="Menor"),CONCATENATE("R2C",'Mapa final'!$R$11),"")</f>
        <v/>
      </c>
      <c r="O57" s="108" t="str">
        <f>IF(AND('Mapa final'!$AB$12="Alta",'Mapa final'!$AD$12="Menor"),CONCATENATE("R2C",'Mapa final'!$R$12),"")</f>
        <v/>
      </c>
      <c r="P57" s="102" t="str">
        <f>IF(AND('Mapa final'!$AB$10="Alta",'Mapa final'!$AD$10="Moderado"),CONCATENATE("R2C",'Mapa final'!$R$10),"")</f>
        <v/>
      </c>
      <c r="Q57" s="41" t="str">
        <f>IF(AND('Mapa final'!$AB$11="Alta",'Mapa final'!$AD$11="Moderado"),CONCATENATE("R2C",'Mapa final'!$R$11),"")</f>
        <v/>
      </c>
      <c r="R57" s="103" t="str">
        <f>IF(AND('Mapa final'!$AB$12="Alta",'Mapa final'!$AD$12="Moderado"),CONCATENATE("R2C",'Mapa final'!$R$12),"")</f>
        <v/>
      </c>
      <c r="S57" s="102" t="str">
        <f>IF(AND('Mapa final'!$AB$10="Alta",'Mapa final'!$AD$10="Mayor"),CONCATENATE("R2C",'Mapa final'!$R$10),"")</f>
        <v/>
      </c>
      <c r="T57" s="41" t="str">
        <f>IF(AND('Mapa final'!$AB$11="Alta",'Mapa final'!$AD$11="Mayor"),CONCATENATE("R2C",'Mapa final'!$R$11),"")</f>
        <v/>
      </c>
      <c r="U57" s="103" t="str">
        <f>IF(AND('Mapa final'!$AB$12="Alta",'Mapa final'!$AD$12="Mayor"),CONCATENATE("R2C",'Mapa final'!$R$12),"")</f>
        <v/>
      </c>
      <c r="V57" s="42" t="str">
        <f>IF(AND('Mapa final'!$AB$10="Alta",'Mapa final'!$AD$10="Catastrófico"),CONCATENATE("R2C",'Mapa final'!$R$10),"")</f>
        <v/>
      </c>
      <c r="W57" s="43" t="str">
        <f>IF(AND('Mapa final'!$AB$11="Alta",'Mapa final'!$AD$11="Catastrófico"),CONCATENATE("R2C",'Mapa final'!$R$11),"")</f>
        <v/>
      </c>
      <c r="X57" s="97" t="str">
        <f>IF(AND('Mapa final'!$AB$12="Alta",'Mapa final'!$AD$12="Catastrófico"),CONCATENATE("R2C",'Mapa final'!$R$12),"")</f>
        <v/>
      </c>
      <c r="Y57" s="55"/>
      <c r="Z57" s="299"/>
      <c r="AA57" s="300"/>
      <c r="AB57" s="300"/>
      <c r="AC57" s="300"/>
      <c r="AD57" s="300"/>
      <c r="AE57" s="301"/>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row>
    <row r="58" spans="1:61" ht="15" customHeight="1" x14ac:dyDescent="0.25">
      <c r="A58" s="55"/>
      <c r="B58" s="316"/>
      <c r="C58" s="316"/>
      <c r="D58" s="317"/>
      <c r="E58" s="306"/>
      <c r="F58" s="305"/>
      <c r="G58" s="305"/>
      <c r="H58" s="305"/>
      <c r="I58" s="305"/>
      <c r="J58" s="48" t="str">
        <f>IF(AND('Mapa final'!$AB$13="Alta",'Mapa final'!$AD$13="Leve"),CONCATENATE("R3C",'Mapa final'!$R$13),"")</f>
        <v/>
      </c>
      <c r="K58" s="49" t="str">
        <f>IF(AND('Mapa final'!$AB$14="Alta",'Mapa final'!$AD$14="Leve"),CONCATENATE("R3C",'Mapa final'!$R$14),"")</f>
        <v/>
      </c>
      <c r="L58" s="108" t="str">
        <f>IF(AND('Mapa final'!$AB$15="Alta",'Mapa final'!$AD$15="Leve"),CONCATENATE("R3C",'Mapa final'!$R$15),"")</f>
        <v/>
      </c>
      <c r="M58" s="48" t="str">
        <f>IF(AND('Mapa final'!$AB$13="Alta",'Mapa final'!$AD$13="Menor"),CONCATENATE("R3C",'Mapa final'!$R$13),"")</f>
        <v/>
      </c>
      <c r="N58" s="49" t="str">
        <f>IF(AND('Mapa final'!$AB$14="Alta",'Mapa final'!$AD$14="Menor"),CONCATENATE("R3C",'Mapa final'!$R$14),"")</f>
        <v/>
      </c>
      <c r="O58" s="108" t="str">
        <f>IF(AND('Mapa final'!$AB$15="Alta",'Mapa final'!$AD$15="Menor"),CONCATENATE("R3C",'Mapa final'!$R$15),"")</f>
        <v/>
      </c>
      <c r="P58" s="102" t="str">
        <f>IF(AND('Mapa final'!$AB$13="Alta",'Mapa final'!$AD$13="Moderado"),CONCATENATE("R3C",'Mapa final'!$R$13),"")</f>
        <v/>
      </c>
      <c r="Q58" s="41" t="str">
        <f>IF(AND('Mapa final'!$AB$14="Alta",'Mapa final'!$AD$14="Moderado"),CONCATENATE("R3C",'Mapa final'!$R$14),"")</f>
        <v/>
      </c>
      <c r="R58" s="103" t="str">
        <f>IF(AND('Mapa final'!$AB$15="Alta",'Mapa final'!$AD$15="Moderado"),CONCATENATE("R3C",'Mapa final'!$R$15),"")</f>
        <v/>
      </c>
      <c r="S58" s="102" t="str">
        <f>IF(AND('Mapa final'!$AB$13="Alta",'Mapa final'!$AD$13="Mayor"),CONCATENATE("R3C",'Mapa final'!$R$13),"")</f>
        <v/>
      </c>
      <c r="T58" s="41" t="str">
        <f>IF(AND('Mapa final'!$AB$14="Alta",'Mapa final'!$AD$14="Mayor"),CONCATENATE("R3C",'Mapa final'!$R$14),"")</f>
        <v/>
      </c>
      <c r="U58" s="103" t="str">
        <f>IF(AND('Mapa final'!$AB$15="Alta",'Mapa final'!$AD$15="Mayor"),CONCATENATE("R3C",'Mapa final'!$R$15),"")</f>
        <v/>
      </c>
      <c r="V58" s="42" t="str">
        <f>IF(AND('Mapa final'!$AB$13="Alta",'Mapa final'!$AD$13="Catastrófico"),CONCATENATE("R3C",'Mapa final'!$R$13),"")</f>
        <v/>
      </c>
      <c r="W58" s="43" t="str">
        <f>IF(AND('Mapa final'!$AB$14="Alta",'Mapa final'!$AD$14="Catastrófico"),CONCATENATE("R3C",'Mapa final'!$R$14),"")</f>
        <v/>
      </c>
      <c r="X58" s="97" t="str">
        <f>IF(AND('Mapa final'!$AB$15="Alta",'Mapa final'!$AD$15="Catastrófico"),CONCATENATE("R3C",'Mapa final'!$R$15),"")</f>
        <v/>
      </c>
      <c r="Y58" s="55"/>
      <c r="Z58" s="299"/>
      <c r="AA58" s="300"/>
      <c r="AB58" s="300"/>
      <c r="AC58" s="300"/>
      <c r="AD58" s="300"/>
      <c r="AE58" s="301"/>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row>
    <row r="59" spans="1:61" ht="15" customHeight="1" x14ac:dyDescent="0.25">
      <c r="A59" s="55"/>
      <c r="B59" s="316"/>
      <c r="C59" s="316"/>
      <c r="D59" s="317"/>
      <c r="E59" s="306"/>
      <c r="F59" s="305"/>
      <c r="G59" s="305"/>
      <c r="H59" s="305"/>
      <c r="I59" s="305"/>
      <c r="J59" s="48" t="e">
        <f>IF(AND('Mapa final'!#REF!="Alta",'Mapa final'!#REF!="Leve"),CONCATENATE("R4C",'Mapa final'!#REF!),"")</f>
        <v>#REF!</v>
      </c>
      <c r="K59" s="49" t="e">
        <f>IF(AND('Mapa final'!#REF!="Alta",'Mapa final'!#REF!="Leve"),CONCATENATE("R4C",'Mapa final'!#REF!),"")</f>
        <v>#REF!</v>
      </c>
      <c r="L59" s="108" t="e">
        <f>IF(AND('Mapa final'!#REF!="Alta",'Mapa final'!#REF!="Leve"),CONCATENATE("R4C",'Mapa final'!#REF!),"")</f>
        <v>#REF!</v>
      </c>
      <c r="M59" s="48" t="e">
        <f>IF(AND('Mapa final'!#REF!="Alta",'Mapa final'!#REF!="Menor"),CONCATENATE("R4C",'Mapa final'!#REF!),"")</f>
        <v>#REF!</v>
      </c>
      <c r="N59" s="49" t="e">
        <f>IF(AND('Mapa final'!#REF!="Alta",'Mapa final'!#REF!="Menor"),CONCATENATE("R4C",'Mapa final'!#REF!),"")</f>
        <v>#REF!</v>
      </c>
      <c r="O59" s="108" t="e">
        <f>IF(AND('Mapa final'!#REF!="Alta",'Mapa final'!#REF!="Menor"),CONCATENATE("R4C",'Mapa final'!#REF!),"")</f>
        <v>#REF!</v>
      </c>
      <c r="P59" s="102" t="e">
        <f>IF(AND('Mapa final'!#REF!="Alta",'Mapa final'!#REF!="Moderado"),CONCATENATE("R4C",'Mapa final'!#REF!),"")</f>
        <v>#REF!</v>
      </c>
      <c r="Q59" s="41" t="e">
        <f>IF(AND('Mapa final'!#REF!="Alta",'Mapa final'!#REF!="Moderado"),CONCATENATE("R4C",'Mapa final'!#REF!),"")</f>
        <v>#REF!</v>
      </c>
      <c r="R59" s="103" t="e">
        <f>IF(AND('Mapa final'!#REF!="Alta",'Mapa final'!#REF!="Moderado"),CONCATENATE("R4C",'Mapa final'!#REF!),"")</f>
        <v>#REF!</v>
      </c>
      <c r="S59" s="102" t="e">
        <f>IF(AND('Mapa final'!#REF!="Alta",'Mapa final'!#REF!="Mayor"),CONCATENATE("R4C",'Mapa final'!#REF!),"")</f>
        <v>#REF!</v>
      </c>
      <c r="T59" s="41" t="e">
        <f>IF(AND('Mapa final'!#REF!="Alta",'Mapa final'!#REF!="Mayor"),CONCATENATE("R4C",'Mapa final'!#REF!),"")</f>
        <v>#REF!</v>
      </c>
      <c r="U59" s="103" t="e">
        <f>IF(AND('Mapa final'!#REF!="Alta",'Mapa final'!#REF!="Mayor"),CONCATENATE("R4C",'Mapa final'!#REF!),"")</f>
        <v>#REF!</v>
      </c>
      <c r="V59" s="42" t="e">
        <f>IF(AND('Mapa final'!#REF!="Alta",'Mapa final'!#REF!="Catastrófico"),CONCATENATE("R4C",'Mapa final'!#REF!),"")</f>
        <v>#REF!</v>
      </c>
      <c r="W59" s="43" t="e">
        <f>IF(AND('Mapa final'!#REF!="Alta",'Mapa final'!#REF!="Catastrófico"),CONCATENATE("R4C",'Mapa final'!#REF!),"")</f>
        <v>#REF!</v>
      </c>
      <c r="X59" s="97" t="e">
        <f>IF(AND('Mapa final'!#REF!="Alta",'Mapa final'!#REF!="Catastrófico"),CONCATENATE("R4C",'Mapa final'!#REF!),"")</f>
        <v>#REF!</v>
      </c>
      <c r="Y59" s="55"/>
      <c r="Z59" s="299"/>
      <c r="AA59" s="300"/>
      <c r="AB59" s="300"/>
      <c r="AC59" s="300"/>
      <c r="AD59" s="300"/>
      <c r="AE59" s="301"/>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row>
    <row r="60" spans="1:61" ht="12" customHeight="1" x14ac:dyDescent="0.25">
      <c r="A60" s="55"/>
      <c r="B60" s="316"/>
      <c r="C60" s="316"/>
      <c r="D60" s="317"/>
      <c r="E60" s="306"/>
      <c r="F60" s="305"/>
      <c r="G60" s="305"/>
      <c r="H60" s="305"/>
      <c r="I60" s="305"/>
      <c r="J60" s="48" t="str">
        <f>IF(AND('Mapa final'!$AB$16="Alta",'Mapa final'!$AD$16="Leve"),CONCATENATE("R5C",'Mapa final'!$R$16),"")</f>
        <v/>
      </c>
      <c r="K60" s="49" t="str">
        <f>IF(AND('Mapa final'!$AB$17="Alta",'Mapa final'!$AD$17="Leve"),CONCATENATE("R5C",'Mapa final'!$R$17),"")</f>
        <v/>
      </c>
      <c r="L60" s="108" t="str">
        <f>IF(AND('Mapa final'!$AB$18="Alta",'Mapa final'!$AD$18="Leve"),CONCATENATE("R5C",'Mapa final'!$R$18),"")</f>
        <v/>
      </c>
      <c r="M60" s="48" t="str">
        <f>IF(AND('Mapa final'!$AB$16="Alta",'Mapa final'!$AD$16="Menor"),CONCATENATE("R5C",'Mapa final'!$R$16),"")</f>
        <v/>
      </c>
      <c r="N60" s="49" t="str">
        <f>IF(AND('Mapa final'!$AB$17="Alta",'Mapa final'!$AD$17="Menor"),CONCATENATE("R5C",'Mapa final'!$R$17),"")</f>
        <v/>
      </c>
      <c r="O60" s="108" t="str">
        <f>IF(AND('Mapa final'!$AB$18="Alta",'Mapa final'!$AD$18="Menor"),CONCATENATE("R5C",'Mapa final'!$R$18),"")</f>
        <v/>
      </c>
      <c r="P60" s="102" t="str">
        <f>IF(AND('Mapa final'!$AB$16="Alta",'Mapa final'!$AD$16="Moderado"),CONCATENATE("R5C",'Mapa final'!$R$16),"")</f>
        <v/>
      </c>
      <c r="Q60" s="41" t="str">
        <f>IF(AND('Mapa final'!$AB$17="Alta",'Mapa final'!$AD$17="Moderado"),CONCATENATE("R5C",'Mapa final'!$R$17),"")</f>
        <v/>
      </c>
      <c r="R60" s="103" t="str">
        <f>IF(AND('Mapa final'!$AB$18="Alta",'Mapa final'!$AD$18="Moderado"),CONCATENATE("R5C",'Mapa final'!$R$18),"")</f>
        <v/>
      </c>
      <c r="S60" s="102" t="str">
        <f>IF(AND('Mapa final'!$AB$16="Alta",'Mapa final'!$AD$16="Mayor"),CONCATENATE("R5C",'Mapa final'!$R$16),"")</f>
        <v/>
      </c>
      <c r="T60" s="41" t="str">
        <f>IF(AND('Mapa final'!$AB$17="Alta",'Mapa final'!$AD$17="Mayor"),CONCATENATE("R5C",'Mapa final'!$R$17),"")</f>
        <v/>
      </c>
      <c r="U60" s="103" t="str">
        <f>IF(AND('Mapa final'!$AB$18="Alta",'Mapa final'!$AD$18="Mayor"),CONCATENATE("R5C",'Mapa final'!$R$18),"")</f>
        <v/>
      </c>
      <c r="V60" s="42" t="str">
        <f>IF(AND('Mapa final'!$AB$16="Alta",'Mapa final'!$AD$16="Catastrófico"),CONCATENATE("R5C",'Mapa final'!$R$16),"")</f>
        <v/>
      </c>
      <c r="W60" s="43" t="str">
        <f>IF(AND('Mapa final'!$AB$17="Alta",'Mapa final'!$AD$17="Catastrófico"),CONCATENATE("R5C",'Mapa final'!$R$17),"")</f>
        <v/>
      </c>
      <c r="X60" s="97" t="str">
        <f>IF(AND('Mapa final'!$AB$18="Alta",'Mapa final'!$AD$18="Catastrófico"),CONCATENATE("R5C",'Mapa final'!$R$18),"")</f>
        <v/>
      </c>
      <c r="Y60" s="55"/>
      <c r="Z60" s="299"/>
      <c r="AA60" s="300"/>
      <c r="AB60" s="300"/>
      <c r="AC60" s="300"/>
      <c r="AD60" s="300"/>
      <c r="AE60" s="301"/>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row>
    <row r="61" spans="1:61" ht="12" customHeight="1" x14ac:dyDescent="0.25">
      <c r="A61" s="55"/>
      <c r="B61" s="316"/>
      <c r="C61" s="316"/>
      <c r="D61" s="317"/>
      <c r="E61" s="306"/>
      <c r="F61" s="305"/>
      <c r="G61" s="305"/>
      <c r="H61" s="305"/>
      <c r="I61" s="305"/>
      <c r="J61" s="48" t="str">
        <f>IF(AND('Mapa final'!$AB$19="Alta",'Mapa final'!$AD$19="Leve"),CONCATENATE("R6C",'Mapa final'!$R$19),"")</f>
        <v/>
      </c>
      <c r="K61" s="49" t="str">
        <f>IF(AND('Mapa final'!$AB$20="Alta",'Mapa final'!$AD$20="Leve"),CONCATENATE("R6C",'Mapa final'!$R$20),"")</f>
        <v/>
      </c>
      <c r="L61" s="108" t="str">
        <f>IF(AND('Mapa final'!$AB$21="Alta",'Mapa final'!$AD$21="Leve"),CONCATENATE("R6C",'Mapa final'!$R$21),"")</f>
        <v/>
      </c>
      <c r="M61" s="48" t="str">
        <f>IF(AND('Mapa final'!$AB$19="Alta",'Mapa final'!$AD$19="Menor"),CONCATENATE("R6C",'Mapa final'!$R$19),"")</f>
        <v/>
      </c>
      <c r="N61" s="49" t="str">
        <f>IF(AND('Mapa final'!$AB$20="Alta",'Mapa final'!$AD$20="Menor"),CONCATENATE("R6C",'Mapa final'!$R$20),"")</f>
        <v/>
      </c>
      <c r="O61" s="108" t="str">
        <f>IF(AND('Mapa final'!$AB$21="Alta",'Mapa final'!$AD$21="Menor"),CONCATENATE("R6C",'Mapa final'!$R$21),"")</f>
        <v/>
      </c>
      <c r="P61" s="102" t="str">
        <f>IF(AND('Mapa final'!$AB$19="Alta",'Mapa final'!$AD$19="Moderado"),CONCATENATE("R6C",'Mapa final'!$R$19),"")</f>
        <v/>
      </c>
      <c r="Q61" s="41" t="str">
        <f>IF(AND('Mapa final'!$AB$20="Alta",'Mapa final'!$AD$20="Moderado"),CONCATENATE("R6C",'Mapa final'!$R$20),"")</f>
        <v/>
      </c>
      <c r="R61" s="103" t="str">
        <f>IF(AND('Mapa final'!$AB$21="Alta",'Mapa final'!$AD$21="Moderado"),CONCATENATE("R6C",'Mapa final'!$R$21),"")</f>
        <v/>
      </c>
      <c r="S61" s="102" t="str">
        <f>IF(AND('Mapa final'!$AB$19="Alta",'Mapa final'!$AD$19="Mayor"),CONCATENATE("R6C",'Mapa final'!$R$19),"")</f>
        <v/>
      </c>
      <c r="T61" s="41" t="str">
        <f>IF(AND('Mapa final'!$AB$20="Alta",'Mapa final'!$AD$20="Mayor"),CONCATENATE("R6C",'Mapa final'!$R$20),"")</f>
        <v/>
      </c>
      <c r="U61" s="103" t="str">
        <f>IF(AND('Mapa final'!$AB$21="Alta",'Mapa final'!$AD$21="Mayor"),CONCATENATE("R6C",'Mapa final'!$R$21),"")</f>
        <v/>
      </c>
      <c r="V61" s="42" t="str">
        <f>IF(AND('Mapa final'!$AB$19="Alta",'Mapa final'!$AD$19="Catastrófico"),CONCATENATE("R6C",'Mapa final'!$R$19),"")</f>
        <v/>
      </c>
      <c r="W61" s="43" t="str">
        <f>IF(AND('Mapa final'!$AB$20="Alta",'Mapa final'!$AD$20="Catastrófico"),CONCATENATE("R6C",'Mapa final'!$R$20),"")</f>
        <v/>
      </c>
      <c r="X61" s="97" t="str">
        <f>IF(AND('Mapa final'!$AB$21="Alta",'Mapa final'!$AD$21="Catastrófico"),CONCATENATE("R6C",'Mapa final'!$R$21),"")</f>
        <v/>
      </c>
      <c r="Y61" s="55"/>
      <c r="Z61" s="299"/>
      <c r="AA61" s="300"/>
      <c r="AB61" s="300"/>
      <c r="AC61" s="300"/>
      <c r="AD61" s="300"/>
      <c r="AE61" s="301"/>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row>
    <row r="62" spans="1:61" ht="12" customHeight="1" x14ac:dyDescent="0.25">
      <c r="A62" s="55"/>
      <c r="B62" s="316"/>
      <c r="C62" s="316"/>
      <c r="D62" s="317"/>
      <c r="E62" s="306"/>
      <c r="F62" s="305"/>
      <c r="G62" s="305"/>
      <c r="H62" s="305"/>
      <c r="I62" s="305"/>
      <c r="J62" s="48" t="str">
        <f>IF(AND('Mapa final'!$AB$22="Alta",'Mapa final'!$AD$22="Leve"),CONCATENATE("R7C",'Mapa final'!$R$22),"")</f>
        <v/>
      </c>
      <c r="K62" s="49" t="str">
        <f>IF(AND('Mapa final'!$AB$23="Alta",'Mapa final'!$AD$23="Leve"),CONCATENATE("R7C",'Mapa final'!$R$23),"")</f>
        <v/>
      </c>
      <c r="L62" s="108" t="str">
        <f>IF(AND('Mapa final'!$AB$24="Alta",'Mapa final'!$AD$24="Leve"),CONCATENATE("R7C",'Mapa final'!$R$24),"")</f>
        <v/>
      </c>
      <c r="M62" s="48" t="str">
        <f>IF(AND('Mapa final'!$AB$22="Alta",'Mapa final'!$AD$22="Menor"),CONCATENATE("R7C",'Mapa final'!$R$22),"")</f>
        <v/>
      </c>
      <c r="N62" s="49" t="str">
        <f>IF(AND('Mapa final'!$AB$23="Alta",'Mapa final'!$AD$23="Menor"),CONCATENATE("R7C",'Mapa final'!$R$23),"")</f>
        <v/>
      </c>
      <c r="O62" s="108" t="str">
        <f>IF(AND('Mapa final'!$AB$24="Alta",'Mapa final'!$AD$24="Menor"),CONCATENATE("R7C",'Mapa final'!$R$24),"")</f>
        <v/>
      </c>
      <c r="P62" s="102" t="str">
        <f>IF(AND('Mapa final'!$AB$22="Alta",'Mapa final'!$AD$22="Moderado"),CONCATENATE("R7C",'Mapa final'!$R$22),"")</f>
        <v/>
      </c>
      <c r="Q62" s="41" t="str">
        <f>IF(AND('Mapa final'!$AB$23="Alta",'Mapa final'!$AD$23="Moderado"),CONCATENATE("R7C",'Mapa final'!$R$23),"")</f>
        <v/>
      </c>
      <c r="R62" s="103" t="str">
        <f>IF(AND('Mapa final'!$AB$24="Alta",'Mapa final'!$AD$24="Moderado"),CONCATENATE("R7C",'Mapa final'!$R$24),"")</f>
        <v/>
      </c>
      <c r="S62" s="102" t="str">
        <f>IF(AND('Mapa final'!$AB$22="Alta",'Mapa final'!$AD$22="Mayor"),CONCATENATE("R7C",'Mapa final'!$R$22),"")</f>
        <v/>
      </c>
      <c r="T62" s="41" t="str">
        <f>IF(AND('Mapa final'!$AB$23="Alta",'Mapa final'!$AD$23="Mayor"),CONCATENATE("R7C",'Mapa final'!$R$23),"")</f>
        <v/>
      </c>
      <c r="U62" s="103" t="str">
        <f>IF(AND('Mapa final'!$AB$24="Alta",'Mapa final'!$AD$24="Mayor"),CONCATENATE("R7C",'Mapa final'!$R$24),"")</f>
        <v/>
      </c>
      <c r="V62" s="42" t="str">
        <f>IF(AND('Mapa final'!$AB$22="Alta",'Mapa final'!$AD$22="Catastrófico"),CONCATENATE("R7C",'Mapa final'!$R$22),"")</f>
        <v/>
      </c>
      <c r="W62" s="43" t="str">
        <f>IF(AND('Mapa final'!$AB$23="Alta",'Mapa final'!$AD$23="Catastrófico"),CONCATENATE("R7C",'Mapa final'!$R$23),"")</f>
        <v/>
      </c>
      <c r="X62" s="97" t="str">
        <f>IF(AND('Mapa final'!$AB$24="Alta",'Mapa final'!$AD$24="Catastrófico"),CONCATENATE("R7C",'Mapa final'!$R$24),"")</f>
        <v/>
      </c>
      <c r="Y62" s="55"/>
      <c r="Z62" s="299"/>
      <c r="AA62" s="300"/>
      <c r="AB62" s="300"/>
      <c r="AC62" s="300"/>
      <c r="AD62" s="300"/>
      <c r="AE62" s="301"/>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row>
    <row r="63" spans="1:61" ht="12" customHeight="1" x14ac:dyDescent="0.25">
      <c r="A63" s="55"/>
      <c r="B63" s="316"/>
      <c r="C63" s="316"/>
      <c r="D63" s="317"/>
      <c r="E63" s="306"/>
      <c r="F63" s="305"/>
      <c r="G63" s="305"/>
      <c r="H63" s="305"/>
      <c r="I63" s="305"/>
      <c r="J63" s="48" t="str">
        <f>IF(AND('Mapa final'!$AB$25="Alta",'Mapa final'!$AD$25="Leve"),CONCATENATE("R8C",'Mapa final'!$R$25),"")</f>
        <v/>
      </c>
      <c r="K63" s="49" t="str">
        <f>IF(AND('Mapa final'!$AB$26="Alta",'Mapa final'!$AD$26="Leve"),CONCATENATE("R8C",'Mapa final'!$R$26),"")</f>
        <v/>
      </c>
      <c r="L63" s="108" t="str">
        <f>IF(AND('Mapa final'!$AB$27="Alta",'Mapa final'!$AD$27="Leve"),CONCATENATE("R8C",'Mapa final'!$R$27),"")</f>
        <v/>
      </c>
      <c r="M63" s="48" t="str">
        <f>IF(AND('Mapa final'!$AB$25="Alta",'Mapa final'!$AD$25="Menor"),CONCATENATE("R8C",'Mapa final'!$R$25),"")</f>
        <v/>
      </c>
      <c r="N63" s="49" t="str">
        <f>IF(AND('Mapa final'!$AB$26="Alta",'Mapa final'!$AD$26="Menor"),CONCATENATE("R8C",'Mapa final'!$R$26),"")</f>
        <v/>
      </c>
      <c r="O63" s="108" t="str">
        <f>IF(AND('Mapa final'!$AB$27="Alta",'Mapa final'!$AD$27="Menor"),CONCATENATE("R8C",'Mapa final'!$R$27),"")</f>
        <v/>
      </c>
      <c r="P63" s="102" t="str">
        <f>IF(AND('Mapa final'!$AB$25="Alta",'Mapa final'!$AD$25="Moderado"),CONCATENATE("R8C",'Mapa final'!$R$25),"")</f>
        <v/>
      </c>
      <c r="Q63" s="41" t="str">
        <f>IF(AND('Mapa final'!$AB$26="Alta",'Mapa final'!$AD$26="Moderado"),CONCATENATE("R8C",'Mapa final'!$R$26),"")</f>
        <v/>
      </c>
      <c r="R63" s="103" t="str">
        <f>IF(AND('Mapa final'!$AB$27="Alta",'Mapa final'!$AD$27="Moderado"),CONCATENATE("R8C",'Mapa final'!$R$27),"")</f>
        <v/>
      </c>
      <c r="S63" s="102" t="str">
        <f>IF(AND('Mapa final'!$AB$25="Alta",'Mapa final'!$AD$25="Mayor"),CONCATENATE("R8C",'Mapa final'!$R$25),"")</f>
        <v/>
      </c>
      <c r="T63" s="41" t="str">
        <f>IF(AND('Mapa final'!$AB$26="Alta",'Mapa final'!$AD$26="Mayor"),CONCATENATE("R8C",'Mapa final'!$R$26),"")</f>
        <v/>
      </c>
      <c r="U63" s="103" t="str">
        <f>IF(AND('Mapa final'!$AB$27="Alta",'Mapa final'!$AD$27="Mayor"),CONCATENATE("R8C",'Mapa final'!$R$27),"")</f>
        <v/>
      </c>
      <c r="V63" s="42" t="str">
        <f>IF(AND('Mapa final'!$AB$25="Alta",'Mapa final'!$AD$25="Catastrófico"),CONCATENATE("R8C",'Mapa final'!$R$25),"")</f>
        <v/>
      </c>
      <c r="W63" s="43" t="str">
        <f>IF(AND('Mapa final'!$AB$26="Alta",'Mapa final'!$AD$26="Catastrófico"),CONCATENATE("R8C",'Mapa final'!$R$26),"")</f>
        <v/>
      </c>
      <c r="X63" s="97" t="str">
        <f>IF(AND('Mapa final'!$AB$27="Alta",'Mapa final'!$AD$27="Catastrófico"),CONCATENATE("R8C",'Mapa final'!$R$27),"")</f>
        <v/>
      </c>
      <c r="Y63" s="55"/>
      <c r="Z63" s="299"/>
      <c r="AA63" s="300"/>
      <c r="AB63" s="300"/>
      <c r="AC63" s="300"/>
      <c r="AD63" s="300"/>
      <c r="AE63" s="301"/>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row>
    <row r="64" spans="1:61" ht="12" customHeight="1" x14ac:dyDescent="0.25">
      <c r="A64" s="55"/>
      <c r="B64" s="316"/>
      <c r="C64" s="316"/>
      <c r="D64" s="317"/>
      <c r="E64" s="306"/>
      <c r="F64" s="305"/>
      <c r="G64" s="305"/>
      <c r="H64" s="305"/>
      <c r="I64" s="305"/>
      <c r="J64" s="48" t="str">
        <f>IF(AND('Mapa final'!$AB$28="Alta",'Mapa final'!$AD$28="Leve"),CONCATENATE("R9C",'Mapa final'!$R$28),"")</f>
        <v/>
      </c>
      <c r="K64" s="49" t="str">
        <f>IF(AND('Mapa final'!$AB$29="Alta",'Mapa final'!$AD$29="Leve"),CONCATENATE("R9C",'Mapa final'!$R$29),"")</f>
        <v/>
      </c>
      <c r="L64" s="108" t="str">
        <f>IF(AND('Mapa final'!$AB$30="Alta",'Mapa final'!$AD$30="Leve"),CONCATENATE("R9C",'Mapa final'!$R$30),"")</f>
        <v/>
      </c>
      <c r="M64" s="48" t="str">
        <f>IF(AND('Mapa final'!$AB$28="Alta",'Mapa final'!$AD$28="Menor"),CONCATENATE("R9C",'Mapa final'!$R$28),"")</f>
        <v/>
      </c>
      <c r="N64" s="49" t="str">
        <f>IF(AND('Mapa final'!$AB$29="Alta",'Mapa final'!$AD$29="Menor"),CONCATENATE("R9C",'Mapa final'!$R$29),"")</f>
        <v/>
      </c>
      <c r="O64" s="108" t="str">
        <f>IF(AND('Mapa final'!$AB$30="Alta",'Mapa final'!$AD$30="Menor"),CONCATENATE("R9C",'Mapa final'!$R$30),"")</f>
        <v/>
      </c>
      <c r="P64" s="102" t="str">
        <f>IF(AND('Mapa final'!$AB$28="Alta",'Mapa final'!$AD$28="Moderado"),CONCATENATE("R9C",'Mapa final'!$R$28),"")</f>
        <v/>
      </c>
      <c r="Q64" s="41" t="str">
        <f>IF(AND('Mapa final'!$AB$29="Alta",'Mapa final'!$AD$29="Moderado"),CONCATENATE("R9C",'Mapa final'!$R$29),"")</f>
        <v/>
      </c>
      <c r="R64" s="103" t="str">
        <f>IF(AND('Mapa final'!$AB$30="Alta",'Mapa final'!$AD$30="Moderado"),CONCATENATE("R9C",'Mapa final'!$R$30),"")</f>
        <v/>
      </c>
      <c r="S64" s="102" t="str">
        <f>IF(AND('Mapa final'!$AB$28="Alta",'Mapa final'!$AD$28="Mayor"),CONCATENATE("R9C",'Mapa final'!$R$28),"")</f>
        <v/>
      </c>
      <c r="T64" s="41" t="str">
        <f>IF(AND('Mapa final'!$AB$29="Alta",'Mapa final'!$AD$29="Mayor"),CONCATENATE("R9C",'Mapa final'!$R$29),"")</f>
        <v/>
      </c>
      <c r="U64" s="103" t="str">
        <f>IF(AND('Mapa final'!$AB$30="Alta",'Mapa final'!$AD$30="Mayor"),CONCATENATE("R9C",'Mapa final'!$R$30),"")</f>
        <v/>
      </c>
      <c r="V64" s="42" t="str">
        <f>IF(AND('Mapa final'!$AB$28="Alta",'Mapa final'!$AD$28="Catastrófico"),CONCATENATE("R9C",'Mapa final'!$R$28),"")</f>
        <v/>
      </c>
      <c r="W64" s="43" t="str">
        <f>IF(AND('Mapa final'!$AB$29="Alta",'Mapa final'!$AD$29="Catastrófico"),CONCATENATE("R9C",'Mapa final'!$R$29),"")</f>
        <v/>
      </c>
      <c r="X64" s="97" t="str">
        <f>IF(AND('Mapa final'!$AB$30="Alta",'Mapa final'!$AD$30="Catastrófico"),CONCATENATE("R9C",'Mapa final'!$R$30),"")</f>
        <v/>
      </c>
      <c r="Y64" s="55"/>
      <c r="Z64" s="299"/>
      <c r="AA64" s="300"/>
      <c r="AB64" s="300"/>
      <c r="AC64" s="300"/>
      <c r="AD64" s="300"/>
      <c r="AE64" s="301"/>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row>
    <row r="65" spans="1:61" ht="12" customHeight="1" x14ac:dyDescent="0.25">
      <c r="A65" s="55"/>
      <c r="B65" s="316"/>
      <c r="C65" s="316"/>
      <c r="D65" s="317"/>
      <c r="E65" s="306"/>
      <c r="F65" s="305"/>
      <c r="G65" s="305"/>
      <c r="H65" s="305"/>
      <c r="I65" s="305"/>
      <c r="J65" s="48" t="str">
        <f>IF(AND('Mapa final'!$AB$31="Alta",'Mapa final'!$AD$31="Leve"),CONCATENATE("R10C",'Mapa final'!$R$31),"")</f>
        <v/>
      </c>
      <c r="K65" s="49" t="str">
        <f>IF(AND('Mapa final'!$AB$32="Alta",'Mapa final'!$AD$32="Leve"),CONCATENATE("R10C",'Mapa final'!$R$32),"")</f>
        <v/>
      </c>
      <c r="L65" s="108" t="str">
        <f>IF(AND('Mapa final'!$AB$33="Alta",'Mapa final'!$AD$33="Leve"),CONCATENATE("R10C",'Mapa final'!$R$33),"")</f>
        <v/>
      </c>
      <c r="M65" s="48" t="str">
        <f>IF(AND('Mapa final'!$AB$31="Alta",'Mapa final'!$AD$31="Menor"),CONCATENATE("R10C",'Mapa final'!$R$31),"")</f>
        <v/>
      </c>
      <c r="N65" s="49" t="str">
        <f>IF(AND('Mapa final'!$AB$32="Alta",'Mapa final'!$AD$32="Menor"),CONCATENATE("R10C",'Mapa final'!$R$32),"")</f>
        <v/>
      </c>
      <c r="O65" s="108" t="str">
        <f>IF(AND('Mapa final'!$AB$33="Alta",'Mapa final'!$AD$33="Menor"),CONCATENATE("R10C",'Mapa final'!$R$33),"")</f>
        <v/>
      </c>
      <c r="P65" s="102" t="str">
        <f>IF(AND('Mapa final'!$AB$31="Alta",'Mapa final'!$AD$31="Moderado"),CONCATENATE("R10C",'Mapa final'!$R$31),"")</f>
        <v/>
      </c>
      <c r="Q65" s="41" t="str">
        <f>IF(AND('Mapa final'!$AB$32="Alta",'Mapa final'!$AD$32="Moderado"),CONCATENATE("R10C",'Mapa final'!$R$32),"")</f>
        <v/>
      </c>
      <c r="R65" s="103" t="str">
        <f>IF(AND('Mapa final'!$AB$33="Alta",'Mapa final'!$AD$33="Moderado"),CONCATENATE("R10C",'Mapa final'!$R$33),"")</f>
        <v/>
      </c>
      <c r="S65" s="102" t="str">
        <f>IF(AND('Mapa final'!$AB$31="Alta",'Mapa final'!$AD$31="Mayor"),CONCATENATE("R10C",'Mapa final'!$R$31),"")</f>
        <v/>
      </c>
      <c r="T65" s="41" t="str">
        <f>IF(AND('Mapa final'!$AB$32="Alta",'Mapa final'!$AD$32="Mayor"),CONCATENATE("R10C",'Mapa final'!$R$32),"")</f>
        <v/>
      </c>
      <c r="U65" s="103" t="str">
        <f>IF(AND('Mapa final'!$AB$33="Alta",'Mapa final'!$AD$33="Mayor"),CONCATENATE("R10C",'Mapa final'!$R$33),"")</f>
        <v/>
      </c>
      <c r="V65" s="42" t="str">
        <f>IF(AND('Mapa final'!$AB$31="Alta",'Mapa final'!$AD$31="Catastrófico"),CONCATENATE("R10C",'Mapa final'!$R$31),"")</f>
        <v/>
      </c>
      <c r="W65" s="43" t="str">
        <f>IF(AND('Mapa final'!$AB$32="Alta",'Mapa final'!$AD$32="Catastrófico"),CONCATENATE("R10C",'Mapa final'!$R$32),"")</f>
        <v/>
      </c>
      <c r="X65" s="97" t="str">
        <f>IF(AND('Mapa final'!$AB$33="Alta",'Mapa final'!$AD$33="Catastrófico"),CONCATENATE("R10C",'Mapa final'!$R$33),"")</f>
        <v/>
      </c>
      <c r="Y65" s="55"/>
      <c r="Z65" s="299"/>
      <c r="AA65" s="300"/>
      <c r="AB65" s="300"/>
      <c r="AC65" s="300"/>
      <c r="AD65" s="300"/>
      <c r="AE65" s="301"/>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row>
    <row r="66" spans="1:61" ht="12" customHeight="1" x14ac:dyDescent="0.25">
      <c r="A66" s="55"/>
      <c r="B66" s="316"/>
      <c r="C66" s="316"/>
      <c r="D66" s="317"/>
      <c r="E66" s="306"/>
      <c r="F66" s="305"/>
      <c r="G66" s="305"/>
      <c r="H66" s="305"/>
      <c r="I66" s="305"/>
      <c r="J66" s="48" t="str">
        <f>IF(AND('Mapa final'!$AB$34="Alta",'Mapa final'!$AD$34="Leve"),CONCATENATE("R11C",'Mapa final'!$R$34),"")</f>
        <v/>
      </c>
      <c r="K66" s="49" t="str">
        <f>IF(AND('Mapa final'!$AB$35="Alta",'Mapa final'!$AD$35="Leve"),CONCATENATE("R11C",'Mapa final'!$R$35),"")</f>
        <v/>
      </c>
      <c r="L66" s="108" t="str">
        <f>IF(AND('Mapa final'!$AB$36="Alta",'Mapa final'!$AD$36="Leve"),CONCATENATE("R11C",'Mapa final'!$R$36),"")</f>
        <v/>
      </c>
      <c r="M66" s="48" t="str">
        <f>IF(AND('Mapa final'!$AB$34="Alta",'Mapa final'!$AD$34="Menor"),CONCATENATE("R11C",'Mapa final'!$R$34),"")</f>
        <v/>
      </c>
      <c r="N66" s="49" t="str">
        <f>IF(AND('Mapa final'!$AB$35="Alta",'Mapa final'!$AD$35="Menor"),CONCATENATE("R11C",'Mapa final'!$R$35),"")</f>
        <v/>
      </c>
      <c r="O66" s="108" t="str">
        <f>IF(AND('Mapa final'!$AB$36="Alta",'Mapa final'!$AD$36="Menor"),CONCATENATE("R11C",'Mapa final'!$R$36),"")</f>
        <v/>
      </c>
      <c r="P66" s="102" t="str">
        <f>IF(AND('Mapa final'!$AB$34="Alta",'Mapa final'!$AD$34="Moderado"),CONCATENATE("R11C",'Mapa final'!$R$34),"")</f>
        <v/>
      </c>
      <c r="Q66" s="41" t="str">
        <f>IF(AND('Mapa final'!$AB$35="Alta",'Mapa final'!$AD$35="Moderado"),CONCATENATE("R11C",'Mapa final'!$R$35),"")</f>
        <v/>
      </c>
      <c r="R66" s="103" t="str">
        <f>IF(AND('Mapa final'!$AB$36="Alta",'Mapa final'!$AD$36="Moderado"),CONCATENATE("R11C",'Mapa final'!$R$36),"")</f>
        <v/>
      </c>
      <c r="S66" s="102" t="str">
        <f>IF(AND('Mapa final'!$AB$34="Alta",'Mapa final'!$AD$34="Mayor"),CONCATENATE("R11C",'Mapa final'!$R$34),"")</f>
        <v/>
      </c>
      <c r="T66" s="41" t="str">
        <f>IF(AND('Mapa final'!$AB$35="Alta",'Mapa final'!$AD$35="Mayor"),CONCATENATE("R11C",'Mapa final'!$R$35),"")</f>
        <v/>
      </c>
      <c r="U66" s="103" t="str">
        <f>IF(AND('Mapa final'!$AB$36="Alta",'Mapa final'!$AD$36="Mayor"),CONCATENATE("R11C",'Mapa final'!$R$36),"")</f>
        <v/>
      </c>
      <c r="V66" s="42" t="str">
        <f>IF(AND('Mapa final'!$AB$34="Alta",'Mapa final'!$AD$34="Catastrófico"),CONCATENATE("R11C",'Mapa final'!$R$34),"")</f>
        <v/>
      </c>
      <c r="W66" s="43" t="str">
        <f>IF(AND('Mapa final'!$AB$35="Alta",'Mapa final'!$AD$35="Catastrófico"),CONCATENATE("R11C",'Mapa final'!$R$35),"")</f>
        <v/>
      </c>
      <c r="X66" s="97" t="str">
        <f>IF(AND('Mapa final'!$AB$36="Alta",'Mapa final'!$AD$36="Catastrófico"),CONCATENATE("R11C",'Mapa final'!$R$36),"")</f>
        <v/>
      </c>
      <c r="Y66" s="55"/>
      <c r="Z66" s="299"/>
      <c r="AA66" s="300"/>
      <c r="AB66" s="300"/>
      <c r="AC66" s="300"/>
      <c r="AD66" s="300"/>
      <c r="AE66" s="301"/>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row>
    <row r="67" spans="1:61" ht="12" customHeight="1" x14ac:dyDescent="0.25">
      <c r="A67" s="55"/>
      <c r="B67" s="316"/>
      <c r="C67" s="316"/>
      <c r="D67" s="317"/>
      <c r="E67" s="306"/>
      <c r="F67" s="305"/>
      <c r="G67" s="305"/>
      <c r="H67" s="305"/>
      <c r="I67" s="305"/>
      <c r="J67" s="48" t="str">
        <f>IF(AND('Mapa final'!$AB$37="Alta",'Mapa final'!$AD$37="Leve"),CONCATENATE("R12C",'Mapa final'!$R$37),"")</f>
        <v/>
      </c>
      <c r="K67" s="49" t="str">
        <f>IF(AND('Mapa final'!$AB$38="Alta",'Mapa final'!$AD$38="Leve"),CONCATENATE("R12C",'Mapa final'!$R$38),"")</f>
        <v/>
      </c>
      <c r="L67" s="108" t="str">
        <f>IF(AND('Mapa final'!$AB$39="Alta",'Mapa final'!$AD$39="Leve"),CONCATENATE("R12C",'Mapa final'!$R$39),"")</f>
        <v/>
      </c>
      <c r="M67" s="48" t="str">
        <f>IF(AND('Mapa final'!$AB$37="Alta",'Mapa final'!$AD$37="Menor"),CONCATENATE("R12C",'Mapa final'!$R$37),"")</f>
        <v/>
      </c>
      <c r="N67" s="49" t="str">
        <f>IF(AND('Mapa final'!$AB$38="Alta",'Mapa final'!$AD$38="Menor"),CONCATENATE("R12C",'Mapa final'!$R$38),"")</f>
        <v/>
      </c>
      <c r="O67" s="108" t="str">
        <f>IF(AND('Mapa final'!$AB$39="Alta",'Mapa final'!$AD$39="Menor"),CONCATENATE("R12C",'Mapa final'!$R$39),"")</f>
        <v/>
      </c>
      <c r="P67" s="102" t="str">
        <f>IF(AND('Mapa final'!$AB$37="Alta",'Mapa final'!$AD$37="Moderado"),CONCATENATE("R12C",'Mapa final'!$R$37),"")</f>
        <v/>
      </c>
      <c r="Q67" s="41" t="str">
        <f>IF(AND('Mapa final'!$AB$38="Alta",'Mapa final'!$AD$38="Moderado"),CONCATENATE("R12C",'Mapa final'!$R$38),"")</f>
        <v/>
      </c>
      <c r="R67" s="103" t="str">
        <f>IF(AND('Mapa final'!$AB$39="Alta",'Mapa final'!$AD$39="Moderado"),CONCATENATE("R12C",'Mapa final'!$R$39),"")</f>
        <v/>
      </c>
      <c r="S67" s="102" t="str">
        <f>IF(AND('Mapa final'!$AB$37="Alta",'Mapa final'!$AD$37="Mayor"),CONCATENATE("R12C",'Mapa final'!$R$37),"")</f>
        <v/>
      </c>
      <c r="T67" s="41" t="str">
        <f>IF(AND('Mapa final'!$AB$38="Alta",'Mapa final'!$AD$38="Mayor"),CONCATENATE("R12C",'Mapa final'!$R$38),"")</f>
        <v/>
      </c>
      <c r="U67" s="103" t="str">
        <f>IF(AND('Mapa final'!$AB$39="Alta",'Mapa final'!$AD$39="Mayor"),CONCATENATE("R12C",'Mapa final'!$R$39),"")</f>
        <v/>
      </c>
      <c r="V67" s="42" t="str">
        <f>IF(AND('Mapa final'!$AB$37="Alta",'Mapa final'!$AD$37="Catastrófico"),CONCATENATE("R12C",'Mapa final'!$R$37),"")</f>
        <v/>
      </c>
      <c r="W67" s="43" t="str">
        <f>IF(AND('Mapa final'!$AB$38="Alta",'Mapa final'!$AD$38="Catastrófico"),CONCATENATE("R12C",'Mapa final'!$R$38),"")</f>
        <v/>
      </c>
      <c r="X67" s="97" t="str">
        <f>IF(AND('Mapa final'!$AB$39="Alta",'Mapa final'!$AD$39="Catastrófico"),CONCATENATE("R12C",'Mapa final'!$R$39),"")</f>
        <v/>
      </c>
      <c r="Y67" s="55"/>
      <c r="Z67" s="299"/>
      <c r="AA67" s="300"/>
      <c r="AB67" s="300"/>
      <c r="AC67" s="300"/>
      <c r="AD67" s="300"/>
      <c r="AE67" s="301"/>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row>
    <row r="68" spans="1:61" ht="12" customHeight="1" x14ac:dyDescent="0.25">
      <c r="A68" s="55"/>
      <c r="B68" s="316"/>
      <c r="C68" s="316"/>
      <c r="D68" s="317"/>
      <c r="E68" s="306"/>
      <c r="F68" s="305"/>
      <c r="G68" s="305"/>
      <c r="H68" s="305"/>
      <c r="I68" s="305"/>
      <c r="J68" s="48" t="str">
        <f>IF(AND('Mapa final'!$AB$40="Alta",'Mapa final'!$AD$40="Leve"),CONCATENATE("R13C",'Mapa final'!$R$40),"")</f>
        <v/>
      </c>
      <c r="K68" s="49" t="str">
        <f>IF(AND('Mapa final'!$AB$41="Alta",'Mapa final'!$AD$41="Leve"),CONCATENATE("R13C",'Mapa final'!$R$41),"")</f>
        <v/>
      </c>
      <c r="L68" s="108" t="str">
        <f>IF(AND('Mapa final'!$AB$42="Alta",'Mapa final'!$AD$42="Leve"),CONCATENATE("R13C",'Mapa final'!$R$42),"")</f>
        <v/>
      </c>
      <c r="M68" s="48" t="str">
        <f>IF(AND('Mapa final'!$AB$40="Alta",'Mapa final'!$AD$40="Menor"),CONCATENATE("R13C",'Mapa final'!$R$40),"")</f>
        <v/>
      </c>
      <c r="N68" s="49" t="str">
        <f>IF(AND('Mapa final'!$AB$41="Alta",'Mapa final'!$AD$41="Menor"),CONCATENATE("R13C",'Mapa final'!$R$41),"")</f>
        <v/>
      </c>
      <c r="O68" s="108" t="str">
        <f>IF(AND('Mapa final'!$AB$42="Alta",'Mapa final'!$AD$42="Menor"),CONCATENATE("R13C",'Mapa final'!$R$42),"")</f>
        <v/>
      </c>
      <c r="P68" s="102" t="str">
        <f>IF(AND('Mapa final'!$AB$40="Alta",'Mapa final'!$AD$40="Moderado"),CONCATENATE("R13C",'Mapa final'!$R$40),"")</f>
        <v/>
      </c>
      <c r="Q68" s="41" t="str">
        <f>IF(AND('Mapa final'!$AB$41="Alta",'Mapa final'!$AD$41="Moderado"),CONCATENATE("R13C",'Mapa final'!$R$41),"")</f>
        <v/>
      </c>
      <c r="R68" s="103" t="str">
        <f>IF(AND('Mapa final'!$AB$42="Alta",'Mapa final'!$AD$42="Moderado"),CONCATENATE("R13C",'Mapa final'!$R$42),"")</f>
        <v/>
      </c>
      <c r="S68" s="102" t="str">
        <f>IF(AND('Mapa final'!$AB$40="Alta",'Mapa final'!$AD$40="Mayor"),CONCATENATE("R13C",'Mapa final'!$R$40),"")</f>
        <v/>
      </c>
      <c r="T68" s="41" t="str">
        <f>IF(AND('Mapa final'!$AB$41="Alta",'Mapa final'!$AD$41="Mayor"),CONCATENATE("R13C",'Mapa final'!$R$41),"")</f>
        <v/>
      </c>
      <c r="U68" s="103" t="str">
        <f>IF(AND('Mapa final'!$AB$42="Alta",'Mapa final'!$AD$42="Mayor"),CONCATENATE("R13C",'Mapa final'!$R$42),"")</f>
        <v/>
      </c>
      <c r="V68" s="42" t="str">
        <f>IF(AND('Mapa final'!$AB$40="Alta",'Mapa final'!$AD$40="Catastrófico"),CONCATENATE("R13C",'Mapa final'!$R$40),"")</f>
        <v/>
      </c>
      <c r="W68" s="43" t="str">
        <f>IF(AND('Mapa final'!$AB$41="Alta",'Mapa final'!$AD$41="Catastrófico"),CONCATENATE("R13C",'Mapa final'!$R$41),"")</f>
        <v/>
      </c>
      <c r="X68" s="97" t="str">
        <f>IF(AND('Mapa final'!$AB$42="Alta",'Mapa final'!$AD$42="Catastrófico"),CONCATENATE("R13C",'Mapa final'!$R$42),"")</f>
        <v/>
      </c>
      <c r="Y68" s="55"/>
      <c r="Z68" s="299"/>
      <c r="AA68" s="300"/>
      <c r="AB68" s="300"/>
      <c r="AC68" s="300"/>
      <c r="AD68" s="300"/>
      <c r="AE68" s="301"/>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row>
    <row r="69" spans="1:61" ht="12" customHeight="1" x14ac:dyDescent="0.25">
      <c r="A69" s="55"/>
      <c r="B69" s="316"/>
      <c r="C69" s="316"/>
      <c r="D69" s="317"/>
      <c r="E69" s="306"/>
      <c r="F69" s="305"/>
      <c r="G69" s="305"/>
      <c r="H69" s="305"/>
      <c r="I69" s="305"/>
      <c r="J69" s="48" t="str">
        <f>IF(AND('Mapa final'!$AB$43="Alta",'Mapa final'!$AD$43="Leve"),CONCATENATE("R14C",'Mapa final'!$R$43),"")</f>
        <v/>
      </c>
      <c r="K69" s="49" t="str">
        <f>IF(AND('Mapa final'!$AB$44="Alta",'Mapa final'!$AD$44="Leve"),CONCATENATE("R14C",'Mapa final'!$R$44),"")</f>
        <v/>
      </c>
      <c r="L69" s="108" t="str">
        <f>IF(AND('Mapa final'!$AB$45="Alta",'Mapa final'!$AD$45="Leve"),CONCATENATE("R14C",'Mapa final'!$R$45),"")</f>
        <v/>
      </c>
      <c r="M69" s="48" t="str">
        <f>IF(AND('Mapa final'!$AB$43="Alta",'Mapa final'!$AD$43="Menor"),CONCATENATE("R14C",'Mapa final'!$R$43),"")</f>
        <v/>
      </c>
      <c r="N69" s="49" t="str">
        <f>IF(AND('Mapa final'!$AB$44="Alta",'Mapa final'!$AD$44="Menor"),CONCATENATE("R14C",'Mapa final'!$R$44),"")</f>
        <v/>
      </c>
      <c r="O69" s="108" t="str">
        <f>IF(AND('Mapa final'!$AB$45="Alta",'Mapa final'!$AD$45="Menor"),CONCATENATE("R14C",'Mapa final'!$R$45),"")</f>
        <v/>
      </c>
      <c r="P69" s="102" t="str">
        <f>IF(AND('Mapa final'!$AB$43="Alta",'Mapa final'!$AD$43="Moderado"),CONCATENATE("R14C",'Mapa final'!$R$43),"")</f>
        <v/>
      </c>
      <c r="Q69" s="41" t="str">
        <f>IF(AND('Mapa final'!$AB$44="Alta",'Mapa final'!$AD$44="Moderado"),CONCATENATE("R14C",'Mapa final'!$R$44),"")</f>
        <v/>
      </c>
      <c r="R69" s="103" t="str">
        <f>IF(AND('Mapa final'!$AB$45="Alta",'Mapa final'!$AD$45="Moderado"),CONCATENATE("R14C",'Mapa final'!$R$45),"")</f>
        <v/>
      </c>
      <c r="S69" s="102" t="str">
        <f>IF(AND('Mapa final'!$AB$43="Alta",'Mapa final'!$AD$43="Mayor"),CONCATENATE("R14C",'Mapa final'!$R$43),"")</f>
        <v/>
      </c>
      <c r="T69" s="41" t="str">
        <f>IF(AND('Mapa final'!$AB$44="Alta",'Mapa final'!$AD$44="Mayor"),CONCATENATE("R14C",'Mapa final'!$R$44),"")</f>
        <v/>
      </c>
      <c r="U69" s="103" t="str">
        <f>IF(AND('Mapa final'!$AB$45="Alta",'Mapa final'!$AD$45="Mayor"),CONCATENATE("R14C",'Mapa final'!$R$45),"")</f>
        <v/>
      </c>
      <c r="V69" s="42" t="str">
        <f>IF(AND('Mapa final'!$AB$43="Alta",'Mapa final'!$AD$43="Catastrófico"),CONCATENATE("R14C",'Mapa final'!$R$43),"")</f>
        <v/>
      </c>
      <c r="W69" s="43" t="str">
        <f>IF(AND('Mapa final'!$AB$44="Alta",'Mapa final'!$AD$44="Catastrófico"),CONCATENATE("R14C",'Mapa final'!$R$44),"")</f>
        <v/>
      </c>
      <c r="X69" s="97" t="str">
        <f>IF(AND('Mapa final'!$AB$45="Alta",'Mapa final'!$AD$45="Catastrófico"),CONCATENATE("R14C",'Mapa final'!$R$45),"")</f>
        <v/>
      </c>
      <c r="Y69" s="55"/>
      <c r="Z69" s="299"/>
      <c r="AA69" s="300"/>
      <c r="AB69" s="300"/>
      <c r="AC69" s="300"/>
      <c r="AD69" s="300"/>
      <c r="AE69" s="301"/>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row>
    <row r="70" spans="1:61" ht="15" customHeight="1" x14ac:dyDescent="0.25">
      <c r="A70" s="55"/>
      <c r="B70" s="316"/>
      <c r="C70" s="316"/>
      <c r="D70" s="317"/>
      <c r="E70" s="306"/>
      <c r="F70" s="305"/>
      <c r="G70" s="305"/>
      <c r="H70" s="305"/>
      <c r="I70" s="305"/>
      <c r="J70" s="48" t="str">
        <f>IF(AND('Mapa final'!$AB$46="Alta",'Mapa final'!$AD$46="Leve"),CONCATENATE("R15C",'Mapa final'!$R$46),"")</f>
        <v/>
      </c>
      <c r="K70" s="49" t="str">
        <f>IF(AND('Mapa final'!$AB$47="Alta",'Mapa final'!$AD$47="Leve"),CONCATENATE("R15C",'Mapa final'!$R$47),"")</f>
        <v/>
      </c>
      <c r="L70" s="108" t="str">
        <f>IF(AND('Mapa final'!$AB$48="Alta",'Mapa final'!$AD$48="Leve"),CONCATENATE("R15C",'Mapa final'!$R$48),"")</f>
        <v/>
      </c>
      <c r="M70" s="48" t="str">
        <f>IF(AND('Mapa final'!$AB$46="Alta",'Mapa final'!$AD$46="Menor"),CONCATENATE("R15C",'Mapa final'!$R$46),"")</f>
        <v/>
      </c>
      <c r="N70" s="49" t="str">
        <f>IF(AND('Mapa final'!$AB$47="Alta",'Mapa final'!$AD$47="Menor"),CONCATENATE("R15C",'Mapa final'!$R$47),"")</f>
        <v/>
      </c>
      <c r="O70" s="108" t="str">
        <f>IF(AND('Mapa final'!$AB$48="Alta",'Mapa final'!$AD$48="Menor"),CONCATENATE("R15C",'Mapa final'!$R$48),"")</f>
        <v/>
      </c>
      <c r="P70" s="102" t="str">
        <f>IF(AND('Mapa final'!$AB$46="Alta",'Mapa final'!$AD$46="Moderado"),CONCATENATE("R15C",'Mapa final'!$R$46),"")</f>
        <v/>
      </c>
      <c r="Q70" s="41" t="str">
        <f>IF(AND('Mapa final'!$AB$47="Alta",'Mapa final'!$AD$47="Moderado"),CONCATENATE("R15C",'Mapa final'!$R$47),"")</f>
        <v/>
      </c>
      <c r="R70" s="103" t="str">
        <f>IF(AND('Mapa final'!$AB$48="Alta",'Mapa final'!$AD$48="Moderado"),CONCATENATE("R15C",'Mapa final'!$R$48),"")</f>
        <v/>
      </c>
      <c r="S70" s="102" t="str">
        <f>IF(AND('Mapa final'!$AB$46="Alta",'Mapa final'!$AD$46="Mayor"),CONCATENATE("R15C",'Mapa final'!$R$46),"")</f>
        <v/>
      </c>
      <c r="T70" s="41" t="str">
        <f>IF(AND('Mapa final'!$AB$47="Alta",'Mapa final'!$AD$47="Mayor"),CONCATENATE("R15C",'Mapa final'!$R$47),"")</f>
        <v/>
      </c>
      <c r="U70" s="103" t="str">
        <f>IF(AND('Mapa final'!$AB$48="Alta",'Mapa final'!$AD$48="Mayor"),CONCATENATE("R15C",'Mapa final'!$R$48),"")</f>
        <v/>
      </c>
      <c r="V70" s="42" t="str">
        <f>IF(AND('Mapa final'!$AB$46="Alta",'Mapa final'!$AD$46="Catastrófico"),CONCATENATE("R15C",'Mapa final'!$R$46),"")</f>
        <v/>
      </c>
      <c r="W70" s="43" t="str">
        <f>IF(AND('Mapa final'!$AB$47="Alta",'Mapa final'!$AD$47="Catastrófico"),CONCATENATE("R15C",'Mapa final'!$R$47),"")</f>
        <v/>
      </c>
      <c r="X70" s="97" t="str">
        <f>IF(AND('Mapa final'!$AB$48="Alta",'Mapa final'!$AD$48="Catastrófico"),CONCATENATE("R15C",'Mapa final'!$R$48),"")</f>
        <v/>
      </c>
      <c r="Y70" s="55"/>
      <c r="Z70" s="299"/>
      <c r="AA70" s="300"/>
      <c r="AB70" s="300"/>
      <c r="AC70" s="300"/>
      <c r="AD70" s="300"/>
      <c r="AE70" s="301"/>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row>
    <row r="71" spans="1:61" ht="15" customHeight="1" x14ac:dyDescent="0.25">
      <c r="A71" s="55"/>
      <c r="B71" s="316"/>
      <c r="C71" s="316"/>
      <c r="D71" s="317"/>
      <c r="E71" s="306"/>
      <c r="F71" s="305"/>
      <c r="G71" s="305"/>
      <c r="H71" s="305"/>
      <c r="I71" s="305"/>
      <c r="J71" s="48" t="str">
        <f>IF(AND('Mapa final'!$AB$49="Alta",'Mapa final'!$AD$49="Leve"),CONCATENATE("R16C",'Mapa final'!$R$49),"")</f>
        <v/>
      </c>
      <c r="K71" s="49" t="str">
        <f>IF(AND('Mapa final'!$AB$50="Alta",'Mapa final'!$AD$50="Leve"),CONCATENATE("R16C",'Mapa final'!$R$50),"")</f>
        <v/>
      </c>
      <c r="L71" s="108" t="str">
        <f>IF(AND('Mapa final'!$AB$51="Alta",'Mapa final'!$AD$51="Leve"),CONCATENATE("R16C",'Mapa final'!$R$51),"")</f>
        <v/>
      </c>
      <c r="M71" s="48" t="str">
        <f>IF(AND('Mapa final'!$AB$49="Alta",'Mapa final'!$AD$49="Menor"),CONCATENATE("R16C",'Mapa final'!$R$49),"")</f>
        <v/>
      </c>
      <c r="N71" s="49" t="str">
        <f>IF(AND('Mapa final'!$AB$50="Alta",'Mapa final'!$AD$50="Menor"),CONCATENATE("R16C",'Mapa final'!$R$50),"")</f>
        <v/>
      </c>
      <c r="O71" s="108" t="str">
        <f>IF(AND('Mapa final'!$AB$51="Alta",'Mapa final'!$AD$51="Menor"),CONCATENATE("R16C",'Mapa final'!$R$51),"")</f>
        <v/>
      </c>
      <c r="P71" s="102" t="str">
        <f>IF(AND('Mapa final'!$AB$49="Alta",'Mapa final'!$AD$49="Moderado"),CONCATENATE("R16C",'Mapa final'!$R$49),"")</f>
        <v/>
      </c>
      <c r="Q71" s="41" t="str">
        <f>IF(AND('Mapa final'!$AB$50="Alta",'Mapa final'!$AD$50="Moderado"),CONCATENATE("R16C",'Mapa final'!$R$50),"")</f>
        <v/>
      </c>
      <c r="R71" s="103" t="str">
        <f>IF(AND('Mapa final'!$AB$51="Alta",'Mapa final'!$AD$51="Moderado"),CONCATENATE("R16C",'Mapa final'!$R$51),"")</f>
        <v/>
      </c>
      <c r="S71" s="102" t="str">
        <f>IF(AND('Mapa final'!$AB$49="Alta",'Mapa final'!$AD$49="Mayor"),CONCATENATE("R16C",'Mapa final'!$R$49),"")</f>
        <v/>
      </c>
      <c r="T71" s="41" t="str">
        <f>IF(AND('Mapa final'!$AB$50="Alta",'Mapa final'!$AD$50="Mayor"),CONCATENATE("R16C",'Mapa final'!$R$50),"")</f>
        <v/>
      </c>
      <c r="U71" s="103" t="str">
        <f>IF(AND('Mapa final'!$AB$51="Alta",'Mapa final'!$AD$51="Mayor"),CONCATENATE("R16C",'Mapa final'!$R$51),"")</f>
        <v/>
      </c>
      <c r="V71" s="42" t="str">
        <f>IF(AND('Mapa final'!$AB$49="Alta",'Mapa final'!$AD$49="Catastrófico"),CONCATENATE("R16C",'Mapa final'!$R$49),"")</f>
        <v/>
      </c>
      <c r="W71" s="43" t="str">
        <f>IF(AND('Mapa final'!$AB$50="Alta",'Mapa final'!$AD$50="Catastrófico"),CONCATENATE("R16C",'Mapa final'!$R$50),"")</f>
        <v/>
      </c>
      <c r="X71" s="97" t="str">
        <f>IF(AND('Mapa final'!$AB$51="Alta",'Mapa final'!$AD$51="Catastrófico"),CONCATENATE("R16C",'Mapa final'!$R$51),"")</f>
        <v/>
      </c>
      <c r="Y71" s="55"/>
      <c r="Z71" s="299"/>
      <c r="AA71" s="300"/>
      <c r="AB71" s="300"/>
      <c r="AC71" s="300"/>
      <c r="AD71" s="300"/>
      <c r="AE71" s="301"/>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row>
    <row r="72" spans="1:61" ht="15" customHeight="1" x14ac:dyDescent="0.25">
      <c r="A72" s="55"/>
      <c r="B72" s="316"/>
      <c r="C72" s="316"/>
      <c r="D72" s="317"/>
      <c r="E72" s="306"/>
      <c r="F72" s="305"/>
      <c r="G72" s="305"/>
      <c r="H72" s="305"/>
      <c r="I72" s="305"/>
      <c r="J72" s="48" t="str">
        <f>IF(AND('Mapa final'!$AB$52="Alta",'Mapa final'!$AD$52="Leve"),CONCATENATE("R17C",'Mapa final'!$R$52),"")</f>
        <v/>
      </c>
      <c r="K72" s="49" t="str">
        <f>IF(AND('Mapa final'!$AB$53="Alta",'Mapa final'!$AD$53="Leve"),CONCATENATE("R17C",'Mapa final'!$R$53),"")</f>
        <v/>
      </c>
      <c r="L72" s="108" t="str">
        <f>IF(AND('Mapa final'!$AB$54="Alta",'Mapa final'!$AD$54="Leve"),CONCATENATE("R17C",'Mapa final'!$R$54),"")</f>
        <v/>
      </c>
      <c r="M72" s="48" t="str">
        <f>IF(AND('Mapa final'!$AB$52="Alta",'Mapa final'!$AD$52="Menor"),CONCATENATE("R17C",'Mapa final'!$R$52),"")</f>
        <v/>
      </c>
      <c r="N72" s="49" t="str">
        <f>IF(AND('Mapa final'!$AB$53="Alta",'Mapa final'!$AD$53="Menor"),CONCATENATE("R17C",'Mapa final'!$R$53),"")</f>
        <v/>
      </c>
      <c r="O72" s="108" t="str">
        <f>IF(AND('Mapa final'!$AB$54="Alta",'Mapa final'!$AD$54="Menor"),CONCATENATE("R17C",'Mapa final'!$R$54),"")</f>
        <v/>
      </c>
      <c r="P72" s="102" t="str">
        <f>IF(AND('Mapa final'!$AB$52="Alta",'Mapa final'!$AD$52="Moderado"),CONCATENATE("R17C",'Mapa final'!$R$52),"")</f>
        <v/>
      </c>
      <c r="Q72" s="41" t="str">
        <f>IF(AND('Mapa final'!$AB$53="Alta",'Mapa final'!$AD$53="Moderado"),CONCATENATE("R17C",'Mapa final'!$R$53),"")</f>
        <v/>
      </c>
      <c r="R72" s="103" t="str">
        <f>IF(AND('Mapa final'!$AB$54="Alta",'Mapa final'!$AD$54="Moderado"),CONCATENATE("R17C",'Mapa final'!$R$54),"")</f>
        <v/>
      </c>
      <c r="S72" s="102" t="str">
        <f>IF(AND('Mapa final'!$AB$52="Alta",'Mapa final'!$AD$52="Mayor"),CONCATENATE("R17C",'Mapa final'!$R$52),"")</f>
        <v/>
      </c>
      <c r="T72" s="41" t="str">
        <f>IF(AND('Mapa final'!$AB$53="Alta",'Mapa final'!$AD$53="Mayor"),CONCATENATE("R17C",'Mapa final'!$R$53),"")</f>
        <v/>
      </c>
      <c r="U72" s="103" t="str">
        <f>IF(AND('Mapa final'!$AB$54="Alta",'Mapa final'!$AD$54="Mayor"),CONCATENATE("R17C",'Mapa final'!$R$54),"")</f>
        <v/>
      </c>
      <c r="V72" s="42" t="str">
        <f>IF(AND('Mapa final'!$AB$52="Alta",'Mapa final'!$AD$52="Catastrófico"),CONCATENATE("R17C",'Mapa final'!$R$52),"")</f>
        <v/>
      </c>
      <c r="W72" s="43" t="str">
        <f>IF(AND('Mapa final'!$AB$53="Alta",'Mapa final'!$AD$53="Catastrófico"),CONCATENATE("R17C",'Mapa final'!$R$53),"")</f>
        <v/>
      </c>
      <c r="X72" s="97" t="str">
        <f>IF(AND('Mapa final'!$AB$54="Alta",'Mapa final'!$AD$54="Catastrófico"),CONCATENATE("R17C",'Mapa final'!$R$54),"")</f>
        <v/>
      </c>
      <c r="Y72" s="55"/>
      <c r="Z72" s="299"/>
      <c r="AA72" s="300"/>
      <c r="AB72" s="300"/>
      <c r="AC72" s="300"/>
      <c r="AD72" s="300"/>
      <c r="AE72" s="301"/>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row>
    <row r="73" spans="1:61" ht="15" customHeight="1" x14ac:dyDescent="0.25">
      <c r="A73" s="55"/>
      <c r="B73" s="316"/>
      <c r="C73" s="316"/>
      <c r="D73" s="317"/>
      <c r="E73" s="306"/>
      <c r="F73" s="305"/>
      <c r="G73" s="305"/>
      <c r="H73" s="305"/>
      <c r="I73" s="305"/>
      <c r="J73" s="48" t="str">
        <f>IF(AND('Mapa final'!$AB$55="Alta",'Mapa final'!$AD$55="Leve"),CONCATENATE("R18C",'Mapa final'!$R$55),"")</f>
        <v/>
      </c>
      <c r="K73" s="49" t="str">
        <f>IF(AND('Mapa final'!$AB$56="Alta",'Mapa final'!$AD$56="Leve"),CONCATENATE("R18C",'Mapa final'!$R$56),"")</f>
        <v/>
      </c>
      <c r="L73" s="108" t="str">
        <f>IF(AND('Mapa final'!$AB$57="Alta",'Mapa final'!$AD$57="Leve"),CONCATENATE("R18C",'Mapa final'!$R$57),"")</f>
        <v/>
      </c>
      <c r="M73" s="48" t="str">
        <f>IF(AND('Mapa final'!$AB$55="Alta",'Mapa final'!$AD$55="Menor"),CONCATENATE("R18C",'Mapa final'!$R$55),"")</f>
        <v/>
      </c>
      <c r="N73" s="49" t="str">
        <f>IF(AND('Mapa final'!$AB$56="Alta",'Mapa final'!$AD$56="Menor"),CONCATENATE("R18C",'Mapa final'!$R$56),"")</f>
        <v/>
      </c>
      <c r="O73" s="108" t="str">
        <f>IF(AND('Mapa final'!$AB$57="Alta",'Mapa final'!$AD$57="Menor"),CONCATENATE("R18C",'Mapa final'!$R$57),"")</f>
        <v/>
      </c>
      <c r="P73" s="102" t="str">
        <f>IF(AND('Mapa final'!$AB$55="Alta",'Mapa final'!$AD$55="Moderado"),CONCATENATE("R18C",'Mapa final'!$R$55),"")</f>
        <v/>
      </c>
      <c r="Q73" s="41" t="str">
        <f>IF(AND('Mapa final'!$AB$56="Alta",'Mapa final'!$AD$56="Moderado"),CONCATENATE("R18C",'Mapa final'!$R$56),"")</f>
        <v/>
      </c>
      <c r="R73" s="103" t="str">
        <f>IF(AND('Mapa final'!$AB$57="Alta",'Mapa final'!$AD$57="Moderado"),CONCATENATE("R18C",'Mapa final'!$R$57),"")</f>
        <v/>
      </c>
      <c r="S73" s="102" t="str">
        <f>IF(AND('Mapa final'!$AB$55="Alta",'Mapa final'!$AD$55="Mayor"),CONCATENATE("R18C",'Mapa final'!$R$55),"")</f>
        <v/>
      </c>
      <c r="T73" s="41" t="str">
        <f>IF(AND('Mapa final'!$AB$56="Alta",'Mapa final'!$AD$56="Mayor"),CONCATENATE("R18C",'Mapa final'!$R$56),"")</f>
        <v/>
      </c>
      <c r="U73" s="103" t="str">
        <f>IF(AND('Mapa final'!$AB$57="Alta",'Mapa final'!$AD$57="Mayor"),CONCATENATE("R18C",'Mapa final'!$R$57),"")</f>
        <v/>
      </c>
      <c r="V73" s="42" t="str">
        <f>IF(AND('Mapa final'!$AB$55="Alta",'Mapa final'!$AD$55="Catastrófico"),CONCATENATE("R18C",'Mapa final'!$R$55),"")</f>
        <v/>
      </c>
      <c r="W73" s="43" t="str">
        <f>IF(AND('Mapa final'!$AB$56="Alta",'Mapa final'!$AD$56="Catastrófico"),CONCATENATE("R18C",'Mapa final'!$R$56),"")</f>
        <v/>
      </c>
      <c r="X73" s="97" t="str">
        <f>IF(AND('Mapa final'!$AB$57="Alta",'Mapa final'!$AD$57="Catastrófico"),CONCATENATE("R18C",'Mapa final'!$R$57),"")</f>
        <v/>
      </c>
      <c r="Y73" s="55"/>
      <c r="Z73" s="299"/>
      <c r="AA73" s="300"/>
      <c r="AB73" s="300"/>
      <c r="AC73" s="300"/>
      <c r="AD73" s="300"/>
      <c r="AE73" s="301"/>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row>
    <row r="74" spans="1:61" ht="15" customHeight="1" x14ac:dyDescent="0.25">
      <c r="A74" s="55"/>
      <c r="B74" s="316"/>
      <c r="C74" s="316"/>
      <c r="D74" s="317"/>
      <c r="E74" s="306"/>
      <c r="F74" s="305"/>
      <c r="G74" s="305"/>
      <c r="H74" s="305"/>
      <c r="I74" s="305"/>
      <c r="J74" s="48" t="str">
        <f>IF(AND('Mapa final'!$AB$58="Alta",'Mapa final'!$AD$58="Leve"),CONCATENATE("R19C",'Mapa final'!$R$58),"")</f>
        <v/>
      </c>
      <c r="K74" s="49" t="str">
        <f>IF(AND('Mapa final'!$AB$59="Alta",'Mapa final'!$AD$59="Leve"),CONCATENATE("R19C",'Mapa final'!$R$59),"")</f>
        <v/>
      </c>
      <c r="L74" s="108" t="str">
        <f>IF(AND('Mapa final'!$AB$60="Alta",'Mapa final'!$AD$60="Leve"),CONCATENATE("R19C",'Mapa final'!$R$60),"")</f>
        <v/>
      </c>
      <c r="M74" s="48" t="str">
        <f>IF(AND('Mapa final'!$AB$58="Alta",'Mapa final'!$AD$58="Menor"),CONCATENATE("R19C",'Mapa final'!$R$58),"")</f>
        <v/>
      </c>
      <c r="N74" s="49" t="str">
        <f>IF(AND('Mapa final'!$AB$59="Alta",'Mapa final'!$AD$59="Menor"),CONCATENATE("R19C",'Mapa final'!$R$59),"")</f>
        <v/>
      </c>
      <c r="O74" s="108" t="str">
        <f>IF(AND('Mapa final'!$AB$60="Alta",'Mapa final'!$AD$60="Menor"),CONCATENATE("R19C",'Mapa final'!$R$60),"")</f>
        <v/>
      </c>
      <c r="P74" s="102" t="str">
        <f>IF(AND('Mapa final'!$AB$58="Alta",'Mapa final'!$AD$58="Moderado"),CONCATENATE("R19C",'Mapa final'!$R$58),"")</f>
        <v/>
      </c>
      <c r="Q74" s="41" t="str">
        <f>IF(AND('Mapa final'!$AB$59="Alta",'Mapa final'!$AD$59="Moderado"),CONCATENATE("R19C",'Mapa final'!$R$59),"")</f>
        <v/>
      </c>
      <c r="R74" s="103" t="str">
        <f>IF(AND('Mapa final'!$AB$60="Alta",'Mapa final'!$AD$60="Moderado"),CONCATENATE("R19C",'Mapa final'!$R$60),"")</f>
        <v/>
      </c>
      <c r="S74" s="102" t="str">
        <f>IF(AND('Mapa final'!$AB$58="Alta",'Mapa final'!$AD$58="Mayor"),CONCATENATE("R19C",'Mapa final'!$R$58),"")</f>
        <v/>
      </c>
      <c r="T74" s="41" t="str">
        <f>IF(AND('Mapa final'!$AB$59="Alta",'Mapa final'!$AD$59="Mayor"),CONCATENATE("R19C",'Mapa final'!$R$59),"")</f>
        <v/>
      </c>
      <c r="U74" s="103" t="str">
        <f>IF(AND('Mapa final'!$AB$60="Alta",'Mapa final'!$AD$60="Mayor"),CONCATENATE("R19C",'Mapa final'!$R$60),"")</f>
        <v/>
      </c>
      <c r="V74" s="42" t="str">
        <f>IF(AND('Mapa final'!$AB$58="Alta",'Mapa final'!$AD$58="Catastrófico"),CONCATENATE("R19C",'Mapa final'!$R$58),"")</f>
        <v/>
      </c>
      <c r="W74" s="43" t="str">
        <f>IF(AND('Mapa final'!$AB$59="Alta",'Mapa final'!$AD$59="Catastrófico"),CONCATENATE("R19C",'Mapa final'!$R$59),"")</f>
        <v/>
      </c>
      <c r="X74" s="97" t="str">
        <f>IF(AND('Mapa final'!$AB$60="Alta",'Mapa final'!$AD$60="Catastrófico"),CONCATENATE("R19C",'Mapa final'!$R$60),"")</f>
        <v/>
      </c>
      <c r="Y74" s="55"/>
      <c r="Z74" s="299"/>
      <c r="AA74" s="300"/>
      <c r="AB74" s="300"/>
      <c r="AC74" s="300"/>
      <c r="AD74" s="300"/>
      <c r="AE74" s="301"/>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row>
    <row r="75" spans="1:61" ht="15" customHeight="1" x14ac:dyDescent="0.25">
      <c r="A75" s="55"/>
      <c r="B75" s="316"/>
      <c r="C75" s="316"/>
      <c r="D75" s="317"/>
      <c r="E75" s="306"/>
      <c r="F75" s="305"/>
      <c r="G75" s="305"/>
      <c r="H75" s="305"/>
      <c r="I75" s="305"/>
      <c r="J75" s="48" t="str">
        <f>IF(AND('Mapa final'!$AB$61="Alta",'Mapa final'!$AD$61="Leve"),CONCATENATE("R20C",'Mapa final'!$R$61),"")</f>
        <v/>
      </c>
      <c r="K75" s="49" t="str">
        <f>IF(AND('Mapa final'!$AB$62="Alta",'Mapa final'!$AD$62="Leve"),CONCATENATE("R20C",'Mapa final'!$R$62),"")</f>
        <v/>
      </c>
      <c r="L75" s="108" t="str">
        <f>IF(AND('Mapa final'!$AB$63="Alta",'Mapa final'!$AD$63="Leve"),CONCATENATE("R20C",'Mapa final'!$R$63),"")</f>
        <v/>
      </c>
      <c r="M75" s="48" t="str">
        <f>IF(AND('Mapa final'!$AB$61="Alta",'Mapa final'!$AD$61="Menor"),CONCATENATE("R20C",'Mapa final'!$R$61),"")</f>
        <v/>
      </c>
      <c r="N75" s="49" t="str">
        <f>IF(AND('Mapa final'!$AB$62="Alta",'Mapa final'!$AD$62="Menor"),CONCATENATE("R20C",'Mapa final'!$R$62),"")</f>
        <v/>
      </c>
      <c r="O75" s="108" t="str">
        <f>IF(AND('Mapa final'!$AB$63="Alta",'Mapa final'!$AD$63="Menor"),CONCATENATE("R20C",'Mapa final'!$R$63),"")</f>
        <v/>
      </c>
      <c r="P75" s="102" t="str">
        <f>IF(AND('Mapa final'!$AB$61="Alta",'Mapa final'!$AD$61="Moderado"),CONCATENATE("R20C",'Mapa final'!$R$61),"")</f>
        <v/>
      </c>
      <c r="Q75" s="41" t="str">
        <f>IF(AND('Mapa final'!$AB$62="Alta",'Mapa final'!$AD$62="Moderado"),CONCATENATE("R20C",'Mapa final'!$R$62),"")</f>
        <v/>
      </c>
      <c r="R75" s="103" t="str">
        <f>IF(AND('Mapa final'!$AB$63="Alta",'Mapa final'!$AD$63="Moderado"),CONCATENATE("R20C",'Mapa final'!$R$63),"")</f>
        <v/>
      </c>
      <c r="S75" s="102" t="str">
        <f>IF(AND('Mapa final'!$AB$61="Alta",'Mapa final'!$AD$61="Mayor"),CONCATENATE("R20C",'Mapa final'!$R$61),"")</f>
        <v/>
      </c>
      <c r="T75" s="41" t="str">
        <f>IF(AND('Mapa final'!$AB$62="Alta",'Mapa final'!$AD$62="Mayor"),CONCATENATE("R20C",'Mapa final'!$R$62),"")</f>
        <v/>
      </c>
      <c r="U75" s="103" t="str">
        <f>IF(AND('Mapa final'!$AB$63="Alta",'Mapa final'!$AD$63="Mayor"),CONCATENATE("R20C",'Mapa final'!$R$63),"")</f>
        <v/>
      </c>
      <c r="V75" s="42" t="str">
        <f>IF(AND('Mapa final'!$AB$61="Alta",'Mapa final'!$AD$61="Catastrófico"),CONCATENATE("R20C",'Mapa final'!$R$61),"")</f>
        <v/>
      </c>
      <c r="W75" s="43" t="str">
        <f>IF(AND('Mapa final'!$AB$62="Alta",'Mapa final'!$AD$62="Catastrófico"),CONCATENATE("R20C",'Mapa final'!$R$62),"")</f>
        <v/>
      </c>
      <c r="X75" s="97" t="str">
        <f>IF(AND('Mapa final'!$AB$63="Alta",'Mapa final'!$AD$63="Catastrófico"),CONCATENATE("R20C",'Mapa final'!$R$63),"")</f>
        <v/>
      </c>
      <c r="Y75" s="55"/>
      <c r="Z75" s="299"/>
      <c r="AA75" s="300"/>
      <c r="AB75" s="300"/>
      <c r="AC75" s="300"/>
      <c r="AD75" s="300"/>
      <c r="AE75" s="301"/>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row>
    <row r="76" spans="1:61" ht="15" customHeight="1" x14ac:dyDescent="0.25">
      <c r="A76" s="55"/>
      <c r="B76" s="316"/>
      <c r="C76" s="316"/>
      <c r="D76" s="317"/>
      <c r="E76" s="306"/>
      <c r="F76" s="305"/>
      <c r="G76" s="305"/>
      <c r="H76" s="305"/>
      <c r="I76" s="305"/>
      <c r="J76" s="48" t="str">
        <f>IF(AND('Mapa final'!$AB$64="Alta",'Mapa final'!$AD$64="Leve"),CONCATENATE("R21C",'Mapa final'!$R$64),"")</f>
        <v/>
      </c>
      <c r="K76" s="49" t="str">
        <f>IF(AND('Mapa final'!$AB$65="Alta",'Mapa final'!$AD$65="Leve"),CONCATENATE("R21C",'Mapa final'!$R$65),"")</f>
        <v/>
      </c>
      <c r="L76" s="108" t="str">
        <f>IF(AND('Mapa final'!$AB$66="Alta",'Mapa final'!$AD$66="Leve"),CONCATENATE("R21C",'Mapa final'!$R$66),"")</f>
        <v/>
      </c>
      <c r="M76" s="48" t="str">
        <f>IF(AND('Mapa final'!$AB$64="Alta",'Mapa final'!$AD$64="Menor"),CONCATENATE("R21C",'Mapa final'!$R$64),"")</f>
        <v/>
      </c>
      <c r="N76" s="49" t="str">
        <f>IF(AND('Mapa final'!$AB$65="Alta",'Mapa final'!$AD$65="Menor"),CONCATENATE("R21C",'Mapa final'!$R$65),"")</f>
        <v/>
      </c>
      <c r="O76" s="108" t="str">
        <f>IF(AND('Mapa final'!$AB$66="Alta",'Mapa final'!$AD$66="Menor"),CONCATENATE("R21C",'Mapa final'!$R$66),"")</f>
        <v/>
      </c>
      <c r="P76" s="102" t="str">
        <f>IF(AND('Mapa final'!$AB$64="Alta",'Mapa final'!$AD$64="Moderado"),CONCATENATE("R21C",'Mapa final'!$R$64),"")</f>
        <v/>
      </c>
      <c r="Q76" s="41" t="str">
        <f>IF(AND('Mapa final'!$AB$65="Alta",'Mapa final'!$AD$65="Moderado"),CONCATENATE("R21C",'Mapa final'!$R$65),"")</f>
        <v/>
      </c>
      <c r="R76" s="103" t="str">
        <f>IF(AND('Mapa final'!$AB$66="Alta",'Mapa final'!$AD$66="Moderado"),CONCATENATE("R21C",'Mapa final'!$R$66),"")</f>
        <v/>
      </c>
      <c r="S76" s="102" t="str">
        <f>IF(AND('Mapa final'!$AB$64="Alta",'Mapa final'!$AD$64="Mayor"),CONCATENATE("R21C",'Mapa final'!$R$64),"")</f>
        <v/>
      </c>
      <c r="T76" s="41" t="str">
        <f>IF(AND('Mapa final'!$AB$65="Alta",'Mapa final'!$AD$65="Mayor"),CONCATENATE("R21C",'Mapa final'!$R$65),"")</f>
        <v/>
      </c>
      <c r="U76" s="103" t="str">
        <f>IF(AND('Mapa final'!$AB$66="Alta",'Mapa final'!$AD$66="Mayor"),CONCATENATE("R21C",'Mapa final'!$R$66),"")</f>
        <v/>
      </c>
      <c r="V76" s="42" t="str">
        <f>IF(AND('Mapa final'!$AB$64="Alta",'Mapa final'!$AD$64="Catastrófico"),CONCATENATE("R21C",'Mapa final'!$R$64),"")</f>
        <v/>
      </c>
      <c r="W76" s="43" t="str">
        <f>IF(AND('Mapa final'!$AB$65="Alta",'Mapa final'!$AD$65="Catastrófico"),CONCATENATE("R21C",'Mapa final'!$R$65),"")</f>
        <v/>
      </c>
      <c r="X76" s="97" t="str">
        <f>IF(AND('Mapa final'!$AB$66="Alta",'Mapa final'!$AD$66="Catastrófico"),CONCATENATE("R21C",'Mapa final'!$R$66),"")</f>
        <v/>
      </c>
      <c r="Y76" s="55"/>
      <c r="Z76" s="299"/>
      <c r="AA76" s="300"/>
      <c r="AB76" s="300"/>
      <c r="AC76" s="300"/>
      <c r="AD76" s="300"/>
      <c r="AE76" s="301"/>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row>
    <row r="77" spans="1:61" ht="15" customHeight="1" x14ac:dyDescent="0.25">
      <c r="A77" s="55"/>
      <c r="B77" s="316"/>
      <c r="C77" s="316"/>
      <c r="D77" s="317"/>
      <c r="E77" s="306"/>
      <c r="F77" s="305"/>
      <c r="G77" s="305"/>
      <c r="H77" s="305"/>
      <c r="I77" s="305"/>
      <c r="J77" s="48" t="str">
        <f>IF(AND('Mapa final'!$AB$67="Alta",'Mapa final'!$AD$67="Leve"),CONCATENATE("R22C",'Mapa final'!$R$67),"")</f>
        <v/>
      </c>
      <c r="K77" s="49" t="str">
        <f>IF(AND('Mapa final'!$AB$68="Alta",'Mapa final'!$AD$68="Leve"),CONCATENATE("R22C",'Mapa final'!$R$68),"")</f>
        <v/>
      </c>
      <c r="L77" s="108" t="str">
        <f>IF(AND('Mapa final'!$AB$69="Alta",'Mapa final'!$AD$69="Leve"),CONCATENATE("R22C",'Mapa final'!$R$69),"")</f>
        <v/>
      </c>
      <c r="M77" s="48" t="str">
        <f>IF(AND('Mapa final'!$AB$67="Alta",'Mapa final'!$AD$67="Menor"),CONCATENATE("R22C",'Mapa final'!$R$67),"")</f>
        <v/>
      </c>
      <c r="N77" s="49" t="str">
        <f>IF(AND('Mapa final'!$AB$68="Alta",'Mapa final'!$AD$68="Menor"),CONCATENATE("R22C",'Mapa final'!$R$68),"")</f>
        <v/>
      </c>
      <c r="O77" s="108" t="str">
        <f>IF(AND('Mapa final'!$AB$69="Alta",'Mapa final'!$AD$69="Menor"),CONCATENATE("R22C",'Mapa final'!$R$69),"")</f>
        <v/>
      </c>
      <c r="P77" s="102" t="str">
        <f>IF(AND('Mapa final'!$AB$67="Alta",'Mapa final'!$AD$67="Moderado"),CONCATENATE("R22C",'Mapa final'!$R$67),"")</f>
        <v/>
      </c>
      <c r="Q77" s="41" t="str">
        <f>IF(AND('Mapa final'!$AB$68="Alta",'Mapa final'!$AD$68="Moderado"),CONCATENATE("R22C",'Mapa final'!$R$68),"")</f>
        <v/>
      </c>
      <c r="R77" s="103" t="str">
        <f>IF(AND('Mapa final'!$AB$69="Alta",'Mapa final'!$AD$69="Moderado"),CONCATENATE("R22C",'Mapa final'!$R$69),"")</f>
        <v/>
      </c>
      <c r="S77" s="102" t="str">
        <f>IF(AND('Mapa final'!$AB$67="Alta",'Mapa final'!$AD$67="Mayor"),CONCATENATE("R22C",'Mapa final'!$R$67),"")</f>
        <v/>
      </c>
      <c r="T77" s="41" t="str">
        <f>IF(AND('Mapa final'!$AB$68="Alta",'Mapa final'!$AD$68="Mayor"),CONCATENATE("R22C",'Mapa final'!$R$68),"")</f>
        <v/>
      </c>
      <c r="U77" s="103" t="str">
        <f>IF(AND('Mapa final'!$AB$69="Alta",'Mapa final'!$AD$69="Mayor"),CONCATENATE("R22C",'Mapa final'!$R$69),"")</f>
        <v/>
      </c>
      <c r="V77" s="42" t="str">
        <f>IF(AND('Mapa final'!$AB$67="Alta",'Mapa final'!$AD$67="Catastrófico"),CONCATENATE("R22C",'Mapa final'!$R$67),"")</f>
        <v/>
      </c>
      <c r="W77" s="43" t="str">
        <f>IF(AND('Mapa final'!$AB$68="Alta",'Mapa final'!$AD$68="Catastrófico"),CONCATENATE("R22C",'Mapa final'!$R$68),"")</f>
        <v/>
      </c>
      <c r="X77" s="97" t="str">
        <f>IF(AND('Mapa final'!$AB$69="Alta",'Mapa final'!$AD$69="Catastrófico"),CONCATENATE("R22C",'Mapa final'!$R$69),"")</f>
        <v/>
      </c>
      <c r="Y77" s="55"/>
      <c r="Z77" s="299"/>
      <c r="AA77" s="300"/>
      <c r="AB77" s="300"/>
      <c r="AC77" s="300"/>
      <c r="AD77" s="300"/>
      <c r="AE77" s="301"/>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row>
    <row r="78" spans="1:61" ht="15" customHeight="1" x14ac:dyDescent="0.25">
      <c r="A78" s="55"/>
      <c r="B78" s="316"/>
      <c r="C78" s="316"/>
      <c r="D78" s="317"/>
      <c r="E78" s="306"/>
      <c r="F78" s="305"/>
      <c r="G78" s="305"/>
      <c r="H78" s="305"/>
      <c r="I78" s="305"/>
      <c r="J78" s="48" t="str">
        <f>IF(AND('Mapa final'!$AB$73="Alta",'Mapa final'!$AD$73="Leve"),CONCATENATE("R23C",'Mapa final'!$R$73),"")</f>
        <v/>
      </c>
      <c r="K78" s="49" t="str">
        <f>IF(AND('Mapa final'!$AB$74="Alta",'Mapa final'!$AD$74="Leve"),CONCATENATE("R23C",'Mapa final'!$R$74),"")</f>
        <v/>
      </c>
      <c r="L78" s="108" t="str">
        <f>IF(AND('Mapa final'!$AB$75="Alta",'Mapa final'!$AD$75="Leve"),CONCATENATE("R23C",'Mapa final'!$R$75),"")</f>
        <v/>
      </c>
      <c r="M78" s="48" t="str">
        <f>IF(AND('Mapa final'!$AB$73="Alta",'Mapa final'!$AD$73="Menor"),CONCATENATE("R23C",'Mapa final'!$R$73),"")</f>
        <v/>
      </c>
      <c r="N78" s="49" t="str">
        <f>IF(AND('Mapa final'!$AB$74="Alta",'Mapa final'!$AD$74="Menor"),CONCATENATE("R23C",'Mapa final'!$R$74),"")</f>
        <v/>
      </c>
      <c r="O78" s="108" t="str">
        <f>IF(AND('Mapa final'!$AB$75="Alta",'Mapa final'!$AD$75="Menor"),CONCATENATE("R23C",'Mapa final'!$R$75),"")</f>
        <v/>
      </c>
      <c r="P78" s="102" t="str">
        <f>IF(AND('Mapa final'!$AB$73="Alta",'Mapa final'!$AD$73="Moderado"),CONCATENATE("R23C",'Mapa final'!$R$73),"")</f>
        <v/>
      </c>
      <c r="Q78" s="41" t="str">
        <f>IF(AND('Mapa final'!$AB$74="Alta",'Mapa final'!$AD$74="Moderado"),CONCATENATE("R23C",'Mapa final'!$R$74),"")</f>
        <v/>
      </c>
      <c r="R78" s="103" t="str">
        <f>IF(AND('Mapa final'!$AB$75="Alta",'Mapa final'!$AD$75="Moderado"),CONCATENATE("R23C",'Mapa final'!$R$75),"")</f>
        <v/>
      </c>
      <c r="S78" s="102" t="str">
        <f>IF(AND('Mapa final'!$AB$73="Alta",'Mapa final'!$AD$73="Mayor"),CONCATENATE("R23C",'Mapa final'!$R$73),"")</f>
        <v/>
      </c>
      <c r="T78" s="41" t="str">
        <f>IF(AND('Mapa final'!$AB$74="Alta",'Mapa final'!$AD$74="Mayor"),CONCATENATE("R23C",'Mapa final'!$R$74),"")</f>
        <v/>
      </c>
      <c r="U78" s="103" t="str">
        <f>IF(AND('Mapa final'!$AB$75="Alta",'Mapa final'!$AD$75="Mayor"),CONCATENATE("R23C",'Mapa final'!$R$75),"")</f>
        <v/>
      </c>
      <c r="V78" s="42" t="str">
        <f>IF(AND('Mapa final'!$AB$73="Alta",'Mapa final'!$AD$73="Catastrófico"),CONCATENATE("R23C",'Mapa final'!$R$73),"")</f>
        <v/>
      </c>
      <c r="W78" s="43" t="str">
        <f>IF(AND('Mapa final'!$AB$74="Alta",'Mapa final'!$AD$74="Catastrófico"),CONCATENATE("R23C",'Mapa final'!$R$74),"")</f>
        <v/>
      </c>
      <c r="X78" s="97" t="str">
        <f>IF(AND('Mapa final'!$AB$75="Alta",'Mapa final'!$AD$75="Catastrófico"),CONCATENATE("R23C",'Mapa final'!$R$75),"")</f>
        <v/>
      </c>
      <c r="Y78" s="55"/>
      <c r="Z78" s="299"/>
      <c r="AA78" s="300"/>
      <c r="AB78" s="300"/>
      <c r="AC78" s="300"/>
      <c r="AD78" s="300"/>
      <c r="AE78" s="301"/>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row>
    <row r="79" spans="1:61" ht="15" customHeight="1" x14ac:dyDescent="0.25">
      <c r="A79" s="55"/>
      <c r="B79" s="316"/>
      <c r="C79" s="316"/>
      <c r="D79" s="317"/>
      <c r="E79" s="306"/>
      <c r="F79" s="305"/>
      <c r="G79" s="305"/>
      <c r="H79" s="305"/>
      <c r="I79" s="305"/>
      <c r="J79" s="48" t="str">
        <f>IF(AND('Mapa final'!$AB$76="Alta",'Mapa final'!$AD$76="Leve"),CONCATENATE("R24C",'Mapa final'!$R$76),"")</f>
        <v/>
      </c>
      <c r="K79" s="49" t="str">
        <f>IF(AND('Mapa final'!$AB$77="Alta",'Mapa final'!$AD$77="Leve"),CONCATENATE("R24C",'Mapa final'!$R$77),"")</f>
        <v/>
      </c>
      <c r="L79" s="108" t="str">
        <f>IF(AND('Mapa final'!$AB$78="Alta",'Mapa final'!$AD$78="Leve"),CONCATENATE("R24C",'Mapa final'!$R$78),"")</f>
        <v/>
      </c>
      <c r="M79" s="48" t="str">
        <f>IF(AND('Mapa final'!$AB$76="Alta",'Mapa final'!$AD$76="Menor"),CONCATENATE("R24C",'Mapa final'!$R$76),"")</f>
        <v/>
      </c>
      <c r="N79" s="49" t="str">
        <f>IF(AND('Mapa final'!$AB$77="Alta",'Mapa final'!$AD$77="Menor"),CONCATENATE("R24C",'Mapa final'!$R$77),"")</f>
        <v/>
      </c>
      <c r="O79" s="108" t="str">
        <f>IF(AND('Mapa final'!$AB$78="Alta",'Mapa final'!$AD$78="Menor"),CONCATENATE("R24C",'Mapa final'!$R$78),"")</f>
        <v/>
      </c>
      <c r="P79" s="102" t="str">
        <f>IF(AND('Mapa final'!$AB$76="Alta",'Mapa final'!$AD$76="Moderado"),CONCATENATE("R24C",'Mapa final'!$R$76),"")</f>
        <v/>
      </c>
      <c r="Q79" s="41" t="str">
        <f>IF(AND('Mapa final'!$AB$77="Alta",'Mapa final'!$AD$77="Moderado"),CONCATENATE("R24C",'Mapa final'!$R$77),"")</f>
        <v/>
      </c>
      <c r="R79" s="103" t="str">
        <f>IF(AND('Mapa final'!$AB$78="Alta",'Mapa final'!$AD$78="Moderado"),CONCATENATE("R24C",'Mapa final'!$R$78),"")</f>
        <v/>
      </c>
      <c r="S79" s="102" t="str">
        <f>IF(AND('Mapa final'!$AB$76="Alta",'Mapa final'!$AD$76="Mayor"),CONCATENATE("R24C",'Mapa final'!$R$76),"")</f>
        <v/>
      </c>
      <c r="T79" s="41" t="str">
        <f>IF(AND('Mapa final'!$AB$77="Alta",'Mapa final'!$AD$77="Mayor"),CONCATENATE("R24C",'Mapa final'!$R$77),"")</f>
        <v/>
      </c>
      <c r="U79" s="103" t="str">
        <f>IF(AND('Mapa final'!$AB$78="Alta",'Mapa final'!$AD$78="Mayor"),CONCATENATE("R24C",'Mapa final'!$R$78),"")</f>
        <v/>
      </c>
      <c r="V79" s="42" t="str">
        <f>IF(AND('Mapa final'!$AB$76="Alta",'Mapa final'!$AD$76="Catastrófico"),CONCATENATE("R24C",'Mapa final'!$R$76),"")</f>
        <v/>
      </c>
      <c r="W79" s="43" t="str">
        <f>IF(AND('Mapa final'!$AB$77="Alta",'Mapa final'!$AD$77="Catastrófico"),CONCATENATE("R24C",'Mapa final'!$R$77),"")</f>
        <v/>
      </c>
      <c r="X79" s="97" t="str">
        <f>IF(AND('Mapa final'!$AB$78="Alta",'Mapa final'!$AD$78="Catastrófico"),CONCATENATE("R24C",'Mapa final'!$R$78),"")</f>
        <v/>
      </c>
      <c r="Y79" s="55"/>
      <c r="Z79" s="299"/>
      <c r="AA79" s="300"/>
      <c r="AB79" s="300"/>
      <c r="AC79" s="300"/>
      <c r="AD79" s="300"/>
      <c r="AE79" s="301"/>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row>
    <row r="80" spans="1:61" ht="15" customHeight="1" x14ac:dyDescent="0.25">
      <c r="A80" s="55"/>
      <c r="B80" s="316"/>
      <c r="C80" s="316"/>
      <c r="D80" s="317"/>
      <c r="E80" s="306"/>
      <c r="F80" s="305"/>
      <c r="G80" s="305"/>
      <c r="H80" s="305"/>
      <c r="I80" s="305"/>
      <c r="J80" s="48" t="str">
        <f>IF(AND('Mapa final'!$AB$79="Alta",'Mapa final'!$AD$79="Leve"),CONCATENATE("R25C",'Mapa final'!$R$79),"")</f>
        <v/>
      </c>
      <c r="K80" s="49" t="str">
        <f>IF(AND('Mapa final'!$AB$80="Alta",'Mapa final'!$AD$80="Leve"),CONCATENATE("R25C",'Mapa final'!$R$80),"")</f>
        <v/>
      </c>
      <c r="L80" s="108" t="str">
        <f>IF(AND('Mapa final'!$AB$81="Alta",'Mapa final'!$AD$81="Leve"),CONCATENATE("R25C",'Mapa final'!$R$81),"")</f>
        <v/>
      </c>
      <c r="M80" s="48" t="str">
        <f>IF(AND('Mapa final'!$AB$79="Alta",'Mapa final'!$AD$79="Menor"),CONCATENATE("R25C",'Mapa final'!$R$79),"")</f>
        <v/>
      </c>
      <c r="N80" s="49" t="str">
        <f>IF(AND('Mapa final'!$AB$80="Alta",'Mapa final'!$AD$80="Menor"),CONCATENATE("R25C",'Mapa final'!$R$80),"")</f>
        <v/>
      </c>
      <c r="O80" s="108" t="str">
        <f>IF(AND('Mapa final'!$AB$81="Alta",'Mapa final'!$AD$81="Menor"),CONCATENATE("R25C",'Mapa final'!$R$81),"")</f>
        <v/>
      </c>
      <c r="P80" s="102" t="str">
        <f>IF(AND('Mapa final'!$AB$79="Alta",'Mapa final'!$AD$79="Moderado"),CONCATENATE("R25C",'Mapa final'!$R$79),"")</f>
        <v/>
      </c>
      <c r="Q80" s="41" t="str">
        <f>IF(AND('Mapa final'!$AB$80="Alta",'Mapa final'!$AD$80="Moderado"),CONCATENATE("R25C",'Mapa final'!$R$80),"")</f>
        <v/>
      </c>
      <c r="R80" s="103" t="str">
        <f>IF(AND('Mapa final'!$AB$81="Alta",'Mapa final'!$AD$81="Moderado"),CONCATENATE("R25C",'Mapa final'!$R$81),"")</f>
        <v/>
      </c>
      <c r="S80" s="102" t="str">
        <f>IF(AND('Mapa final'!$AB$79="Alta",'Mapa final'!$AD$79="Mayor"),CONCATENATE("R25C",'Mapa final'!$R$79),"")</f>
        <v/>
      </c>
      <c r="T80" s="41" t="str">
        <f>IF(AND('Mapa final'!$AB$80="Alta",'Mapa final'!$AD$80="Mayor"),CONCATENATE("R25C",'Mapa final'!$R$80),"")</f>
        <v/>
      </c>
      <c r="U80" s="103" t="str">
        <f>IF(AND('Mapa final'!$AB$81="Alta",'Mapa final'!$AD$81="Mayor"),CONCATENATE("R25C",'Mapa final'!$R$81),"")</f>
        <v/>
      </c>
      <c r="V80" s="42" t="str">
        <f>IF(AND('Mapa final'!$AB$79="Alta",'Mapa final'!$AD$79="Catastrófico"),CONCATENATE("R25C",'Mapa final'!$R$79),"")</f>
        <v/>
      </c>
      <c r="W80" s="43" t="str">
        <f>IF(AND('Mapa final'!$AB$80="Alta",'Mapa final'!$AD$80="Catastrófico"),CONCATENATE("R25C",'Mapa final'!$R$80),"")</f>
        <v/>
      </c>
      <c r="X80" s="97" t="str">
        <f>IF(AND('Mapa final'!$AB$81="Alta",'Mapa final'!$AD$81="Catastrófico"),CONCATENATE("R25C",'Mapa final'!$R$81),"")</f>
        <v/>
      </c>
      <c r="Y80" s="55"/>
      <c r="Z80" s="299"/>
      <c r="AA80" s="300"/>
      <c r="AB80" s="300"/>
      <c r="AC80" s="300"/>
      <c r="AD80" s="300"/>
      <c r="AE80" s="301"/>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row>
    <row r="81" spans="1:61" ht="15" customHeight="1" x14ac:dyDescent="0.25">
      <c r="A81" s="55"/>
      <c r="B81" s="316"/>
      <c r="C81" s="316"/>
      <c r="D81" s="317"/>
      <c r="E81" s="306"/>
      <c r="F81" s="305"/>
      <c r="G81" s="305"/>
      <c r="H81" s="305"/>
      <c r="I81" s="305"/>
      <c r="J81" s="48" t="str">
        <f>IF(AND('Mapa final'!$AB$82="Alta",'Mapa final'!$AD$82="Leve"),CONCATENATE("R26C",'Mapa final'!$R$82),"")</f>
        <v/>
      </c>
      <c r="K81" s="49" t="str">
        <f>IF(AND('Mapa final'!$AB$83="Alta",'Mapa final'!$AD$83="Leve"),CONCATENATE("R26C",'Mapa final'!$R$83),"")</f>
        <v/>
      </c>
      <c r="L81" s="108" t="str">
        <f>IF(AND('Mapa final'!$AB$84="Alta",'Mapa final'!$AD$84="Leve"),CONCATENATE("R26C",'Mapa final'!$R$84),"")</f>
        <v/>
      </c>
      <c r="M81" s="48" t="str">
        <f>IF(AND('Mapa final'!$AB$82="Alta",'Mapa final'!$AD$82="Menor"),CONCATENATE("R26C",'Mapa final'!$R$82),"")</f>
        <v/>
      </c>
      <c r="N81" s="49" t="str">
        <f>IF(AND('Mapa final'!$AB$83="Alta",'Mapa final'!$AD$83="Menor"),CONCATENATE("R26C",'Mapa final'!$R$83),"")</f>
        <v/>
      </c>
      <c r="O81" s="108" t="str">
        <f>IF(AND('Mapa final'!$AB$84="Alta",'Mapa final'!$AD$84="Menor"),CONCATENATE("R26C",'Mapa final'!$R$84),"")</f>
        <v/>
      </c>
      <c r="P81" s="102" t="str">
        <f>IF(AND('Mapa final'!$AB$82="Alta",'Mapa final'!$AD$82="Moderado"),CONCATENATE("R26C",'Mapa final'!$R$82),"")</f>
        <v/>
      </c>
      <c r="Q81" s="41" t="str">
        <f>IF(AND('Mapa final'!$AB$83="Alta",'Mapa final'!$AD$83="Moderado"),CONCATENATE("R26C",'Mapa final'!$R$83),"")</f>
        <v/>
      </c>
      <c r="R81" s="103" t="str">
        <f>IF(AND('Mapa final'!$AB$84="Alta",'Mapa final'!$AD$84="Moderado"),CONCATENATE("R26C",'Mapa final'!$R$84),"")</f>
        <v/>
      </c>
      <c r="S81" s="102" t="str">
        <f>IF(AND('Mapa final'!$AB$82="Alta",'Mapa final'!$AD$82="Mayor"),CONCATENATE("R26C",'Mapa final'!$R$82),"")</f>
        <v/>
      </c>
      <c r="T81" s="41" t="str">
        <f>IF(AND('Mapa final'!$AB$83="Alta",'Mapa final'!$AD$83="Mayor"),CONCATENATE("R26C",'Mapa final'!$R$83),"")</f>
        <v/>
      </c>
      <c r="U81" s="103" t="str">
        <f>IF(AND('Mapa final'!$AB$84="Alta",'Mapa final'!$AD$84="Mayor"),CONCATENATE("R26C",'Mapa final'!$R$84),"")</f>
        <v/>
      </c>
      <c r="V81" s="42" t="str">
        <f>IF(AND('Mapa final'!$AB$82="Alta",'Mapa final'!$AD$82="Catastrófico"),CONCATENATE("R26C",'Mapa final'!$R$82),"")</f>
        <v/>
      </c>
      <c r="W81" s="43" t="str">
        <f>IF(AND('Mapa final'!$AB$83="Alta",'Mapa final'!$AD$83="Catastrófico"),CONCATENATE("R26C",'Mapa final'!$R$83),"")</f>
        <v/>
      </c>
      <c r="X81" s="97" t="str">
        <f>IF(AND('Mapa final'!$AB$84="Alta",'Mapa final'!$AD$84="Catastrófico"),CONCATENATE("R26C",'Mapa final'!$R$84),"")</f>
        <v/>
      </c>
      <c r="Y81" s="55"/>
      <c r="Z81" s="299"/>
      <c r="AA81" s="300"/>
      <c r="AB81" s="300"/>
      <c r="AC81" s="300"/>
      <c r="AD81" s="300"/>
      <c r="AE81" s="301"/>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row>
    <row r="82" spans="1:61" ht="15" customHeight="1" x14ac:dyDescent="0.25">
      <c r="A82" s="55"/>
      <c r="B82" s="316"/>
      <c r="C82" s="316"/>
      <c r="D82" s="317"/>
      <c r="E82" s="306"/>
      <c r="F82" s="305"/>
      <c r="G82" s="305"/>
      <c r="H82" s="305"/>
      <c r="I82" s="305"/>
      <c r="J82" s="48" t="str">
        <f>IF(AND('Mapa final'!$AB$85="Alta",'Mapa final'!$AD$85="Leve"),CONCATENATE("R27C",'Mapa final'!$R$85),"")</f>
        <v/>
      </c>
      <c r="K82" s="49" t="str">
        <f>IF(AND('Mapa final'!$AB$86="Alta",'Mapa final'!$AD$86="Leve"),CONCATENATE("R27C",'Mapa final'!$R$86),"")</f>
        <v/>
      </c>
      <c r="L82" s="108" t="str">
        <f>IF(AND('Mapa final'!$AB$87="Alta",'Mapa final'!$AD$87="Leve"),CONCATENATE("R27C",'Mapa final'!$R$87),"")</f>
        <v/>
      </c>
      <c r="M82" s="48" t="str">
        <f>IF(AND('Mapa final'!$AB$85="Alta",'Mapa final'!$AD$85="Menor"),CONCATENATE("R27C",'Mapa final'!$R$85),"")</f>
        <v/>
      </c>
      <c r="N82" s="49" t="str">
        <f>IF(AND('Mapa final'!$AB$86="Alta",'Mapa final'!$AD$86="Menor"),CONCATENATE("R27C",'Mapa final'!$R$86),"")</f>
        <v/>
      </c>
      <c r="O82" s="108" t="str">
        <f>IF(AND('Mapa final'!$AB$87="Alta",'Mapa final'!$AD$87="Menor"),CONCATENATE("R27C",'Mapa final'!$R$87),"")</f>
        <v/>
      </c>
      <c r="P82" s="102" t="str">
        <f>IF(AND('Mapa final'!$AB$85="Alta",'Mapa final'!$AD$85="Moderado"),CONCATENATE("R27C",'Mapa final'!$R$85),"")</f>
        <v/>
      </c>
      <c r="Q82" s="41" t="str">
        <f>IF(AND('Mapa final'!$AB$86="Alta",'Mapa final'!$AD$86="Moderado"),CONCATENATE("R27C",'Mapa final'!$R$86),"")</f>
        <v/>
      </c>
      <c r="R82" s="103" t="str">
        <f>IF(AND('Mapa final'!$AB$87="Alta",'Mapa final'!$AD$87="Moderado"),CONCATENATE("R27C",'Mapa final'!$R$87),"")</f>
        <v/>
      </c>
      <c r="S82" s="102" t="str">
        <f>IF(AND('Mapa final'!$AB$85="Alta",'Mapa final'!$AD$85="Mayor"),CONCATENATE("R27C",'Mapa final'!$R$85),"")</f>
        <v/>
      </c>
      <c r="T82" s="41" t="str">
        <f>IF(AND('Mapa final'!$AB$86="Alta",'Mapa final'!$AD$86="Mayor"),CONCATENATE("R27C",'Mapa final'!$R$86),"")</f>
        <v/>
      </c>
      <c r="U82" s="103" t="str">
        <f>IF(AND('Mapa final'!$AB$87="Alta",'Mapa final'!$AD$87="Mayor"),CONCATENATE("R27C",'Mapa final'!$R$87),"")</f>
        <v/>
      </c>
      <c r="V82" s="42" t="str">
        <f>IF(AND('Mapa final'!$AB$85="Alta",'Mapa final'!$AD$85="Catastrófico"),CONCATENATE("R27C",'Mapa final'!$R$85),"")</f>
        <v/>
      </c>
      <c r="W82" s="43" t="str">
        <f>IF(AND('Mapa final'!$AB$86="Alta",'Mapa final'!$AD$86="Catastrófico"),CONCATENATE("R27C",'Mapa final'!$R$86),"")</f>
        <v/>
      </c>
      <c r="X82" s="97" t="str">
        <f>IF(AND('Mapa final'!$AB$87="Alta",'Mapa final'!$AD$87="Catastrófico"),CONCATENATE("R27C",'Mapa final'!$R$87),"")</f>
        <v/>
      </c>
      <c r="Y82" s="55"/>
      <c r="Z82" s="299"/>
      <c r="AA82" s="300"/>
      <c r="AB82" s="300"/>
      <c r="AC82" s="300"/>
      <c r="AD82" s="300"/>
      <c r="AE82" s="301"/>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row>
    <row r="83" spans="1:61" ht="15" customHeight="1" x14ac:dyDescent="0.25">
      <c r="A83" s="55"/>
      <c r="B83" s="316"/>
      <c r="C83" s="316"/>
      <c r="D83" s="317"/>
      <c r="E83" s="306"/>
      <c r="F83" s="305"/>
      <c r="G83" s="305"/>
      <c r="H83" s="305"/>
      <c r="I83" s="305"/>
      <c r="J83" s="48" t="str">
        <f>IF(AND('Mapa final'!$AB$88="Alta",'Mapa final'!$AD$88="Leve"),CONCATENATE("R28C",'Mapa final'!$R$88),"")</f>
        <v/>
      </c>
      <c r="K83" s="49" t="str">
        <f>IF(AND('Mapa final'!$AB$89="Alta",'Mapa final'!$AD$89="Leve"),CONCATENATE("R28C",'Mapa final'!$R$89),"")</f>
        <v/>
      </c>
      <c r="L83" s="108" t="str">
        <f>IF(AND('Mapa final'!$AB$90="Alta",'Mapa final'!$AD$90="Leve"),CONCATENATE("R28C",'Mapa final'!$R$90),"")</f>
        <v/>
      </c>
      <c r="M83" s="48" t="str">
        <f>IF(AND('Mapa final'!$AB$88="Alta",'Mapa final'!$AD$88="Menor"),CONCATENATE("R28C",'Mapa final'!$R$88),"")</f>
        <v/>
      </c>
      <c r="N83" s="49" t="str">
        <f>IF(AND('Mapa final'!$AB$89="Alta",'Mapa final'!$AD$89="Menor"),CONCATENATE("R28C",'Mapa final'!$R$89),"")</f>
        <v/>
      </c>
      <c r="O83" s="108" t="str">
        <f>IF(AND('Mapa final'!$AB$90="Alta",'Mapa final'!$AD$90="Menor"),CONCATENATE("R28C",'Mapa final'!$R$90),"")</f>
        <v/>
      </c>
      <c r="P83" s="102" t="str">
        <f>IF(AND('Mapa final'!$AB$88="Alta",'Mapa final'!$AD$88="Moderado"),CONCATENATE("R28C",'Mapa final'!$R$88),"")</f>
        <v/>
      </c>
      <c r="Q83" s="41" t="str">
        <f>IF(AND('Mapa final'!$AB$89="Alta",'Mapa final'!$AD$89="Moderado"),CONCATENATE("R28C",'Mapa final'!$R$89),"")</f>
        <v/>
      </c>
      <c r="R83" s="103" t="str">
        <f>IF(AND('Mapa final'!$AB$90="Alta",'Mapa final'!$AD$90="Moderado"),CONCATENATE("R28C",'Mapa final'!$R$90),"")</f>
        <v/>
      </c>
      <c r="S83" s="102" t="str">
        <f>IF(AND('Mapa final'!$AB$88="Alta",'Mapa final'!$AD$88="Mayor"),CONCATENATE("R28C",'Mapa final'!$R$88),"")</f>
        <v/>
      </c>
      <c r="T83" s="41" t="str">
        <f>IF(AND('Mapa final'!$AB$89="Alta",'Mapa final'!$AD$89="Mayor"),CONCATENATE("R28C",'Mapa final'!$R$89),"")</f>
        <v/>
      </c>
      <c r="U83" s="103" t="str">
        <f>IF(AND('Mapa final'!$AB$90="Alta",'Mapa final'!$AD$90="Mayor"),CONCATENATE("R28C",'Mapa final'!$R$90),"")</f>
        <v/>
      </c>
      <c r="V83" s="42" t="str">
        <f>IF(AND('Mapa final'!$AB$88="Alta",'Mapa final'!$AD$88="Catastrófico"),CONCATENATE("R28C",'Mapa final'!$R$88),"")</f>
        <v/>
      </c>
      <c r="W83" s="43" t="str">
        <f>IF(AND('Mapa final'!$AB$89="Alta",'Mapa final'!$AD$89="Catastrófico"),CONCATENATE("R28C",'Mapa final'!$R$89),"")</f>
        <v/>
      </c>
      <c r="X83" s="97" t="str">
        <f>IF(AND('Mapa final'!$AB$90="Alta",'Mapa final'!$AD$90="Catastrófico"),CONCATENATE("R28C",'Mapa final'!$R$90),"")</f>
        <v/>
      </c>
      <c r="Y83" s="55"/>
      <c r="Z83" s="299"/>
      <c r="AA83" s="300"/>
      <c r="AB83" s="300"/>
      <c r="AC83" s="300"/>
      <c r="AD83" s="300"/>
      <c r="AE83" s="301"/>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row>
    <row r="84" spans="1:61" ht="15" customHeight="1" x14ac:dyDescent="0.25">
      <c r="A84" s="55"/>
      <c r="B84" s="316"/>
      <c r="C84" s="316"/>
      <c r="D84" s="317"/>
      <c r="E84" s="306"/>
      <c r="F84" s="305"/>
      <c r="G84" s="305"/>
      <c r="H84" s="305"/>
      <c r="I84" s="305"/>
      <c r="J84" s="48" t="str">
        <f>IF(AND('Mapa final'!$AB$91="Alta",'Mapa final'!$AD$91="Leve"),CONCATENATE("R29C",'Mapa final'!$R$91),"")</f>
        <v/>
      </c>
      <c r="K84" s="49" t="str">
        <f>IF(AND('Mapa final'!$AB$92="Alta",'Mapa final'!$AD$92="Leve"),CONCATENATE("R29C",'Mapa final'!$R$92),"")</f>
        <v/>
      </c>
      <c r="L84" s="108" t="str">
        <f>IF(AND('Mapa final'!$AB$93="Alta",'Mapa final'!$AD$93="Leve"),CONCATENATE("R29C",'Mapa final'!$R$93),"")</f>
        <v/>
      </c>
      <c r="M84" s="48" t="str">
        <f>IF(AND('Mapa final'!$AB$91="Alta",'Mapa final'!$AD$91="Menor"),CONCATENATE("R29C",'Mapa final'!$R$91),"")</f>
        <v/>
      </c>
      <c r="N84" s="49" t="str">
        <f>IF(AND('Mapa final'!$AB$92="Alta",'Mapa final'!$AD$92="Menor"),CONCATENATE("R29C",'Mapa final'!$R$92),"")</f>
        <v/>
      </c>
      <c r="O84" s="108" t="str">
        <f>IF(AND('Mapa final'!$AB$93="Alta",'Mapa final'!$AD$93="Menor"),CONCATENATE("R29C",'Mapa final'!$R$93),"")</f>
        <v/>
      </c>
      <c r="P84" s="102" t="str">
        <f>IF(AND('Mapa final'!$AB$91="Alta",'Mapa final'!$AD$91="Moderado"),CONCATENATE("R29C",'Mapa final'!$R$91),"")</f>
        <v/>
      </c>
      <c r="Q84" s="41" t="str">
        <f>IF(AND('Mapa final'!$AB$92="Alta",'Mapa final'!$AD$92="Moderado"),CONCATENATE("R29C",'Mapa final'!$R$92),"")</f>
        <v/>
      </c>
      <c r="R84" s="103" t="str">
        <f>IF(AND('Mapa final'!$AB$93="Alta",'Mapa final'!$AD$93="Moderado"),CONCATENATE("R29C",'Mapa final'!$R$93),"")</f>
        <v/>
      </c>
      <c r="S84" s="102" t="str">
        <f>IF(AND('Mapa final'!$AB$91="Alta",'Mapa final'!$AD$91="Mayor"),CONCATENATE("R29C",'Mapa final'!$R$91),"")</f>
        <v/>
      </c>
      <c r="T84" s="41" t="str">
        <f>IF(AND('Mapa final'!$AB$92="Alta",'Mapa final'!$AD$92="Mayor"),CONCATENATE("R29C",'Mapa final'!$R$92),"")</f>
        <v/>
      </c>
      <c r="U84" s="103" t="str">
        <f>IF(AND('Mapa final'!$AB$93="Alta",'Mapa final'!$AD$93="Mayor"),CONCATENATE("R29C",'Mapa final'!$R$93),"")</f>
        <v/>
      </c>
      <c r="V84" s="42" t="str">
        <f>IF(AND('Mapa final'!$AB$91="Alta",'Mapa final'!$AD$91="Catastrófico"),CONCATENATE("R29C",'Mapa final'!$R$91),"")</f>
        <v/>
      </c>
      <c r="W84" s="43" t="str">
        <f>IF(AND('Mapa final'!$AB$92="Alta",'Mapa final'!$AD$92="Catastrófico"),CONCATENATE("R29C",'Mapa final'!$R$92),"")</f>
        <v/>
      </c>
      <c r="X84" s="97" t="str">
        <f>IF(AND('Mapa final'!$AB$93="Alta",'Mapa final'!$AD$93="Catastrófico"),CONCATENATE("R29C",'Mapa final'!$R$93),"")</f>
        <v/>
      </c>
      <c r="Y84" s="55"/>
      <c r="Z84" s="299"/>
      <c r="AA84" s="300"/>
      <c r="AB84" s="300"/>
      <c r="AC84" s="300"/>
      <c r="AD84" s="300"/>
      <c r="AE84" s="301"/>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row>
    <row r="85" spans="1:61" ht="15" customHeight="1" x14ac:dyDescent="0.25">
      <c r="A85" s="55"/>
      <c r="B85" s="316"/>
      <c r="C85" s="316"/>
      <c r="D85" s="317"/>
      <c r="E85" s="306"/>
      <c r="F85" s="305"/>
      <c r="G85" s="305"/>
      <c r="H85" s="305"/>
      <c r="I85" s="305"/>
      <c r="J85" s="48" t="str">
        <f>IF(AND('Mapa final'!$AB$94="Alta",'Mapa final'!$AD$94="Leve"),CONCATENATE("R30C",'Mapa final'!$R$94),"")</f>
        <v/>
      </c>
      <c r="K85" s="49" t="str">
        <f>IF(AND('Mapa final'!$AB$95="Alta",'Mapa final'!$AD$95="Leve"),CONCATENATE("R30C",'Mapa final'!$R$95),"")</f>
        <v/>
      </c>
      <c r="L85" s="108" t="str">
        <f>IF(AND('Mapa final'!$AB$96="Alta",'Mapa final'!$AD$96="Leve"),CONCATENATE("R30C",'Mapa final'!$R$96),"")</f>
        <v/>
      </c>
      <c r="M85" s="48" t="str">
        <f>IF(AND('Mapa final'!$AB$94="Alta",'Mapa final'!$AD$94="Menor"),CONCATENATE("R30C",'Mapa final'!$R$94),"")</f>
        <v/>
      </c>
      <c r="N85" s="49" t="str">
        <f>IF(AND('Mapa final'!$AB$95="Alta",'Mapa final'!$AD$95="Menor"),CONCATENATE("R30C",'Mapa final'!$R$95),"")</f>
        <v/>
      </c>
      <c r="O85" s="108" t="str">
        <f>IF(AND('Mapa final'!$AB$96="Alta",'Mapa final'!$AD$96="Menor"),CONCATENATE("R30C",'Mapa final'!$R$96),"")</f>
        <v/>
      </c>
      <c r="P85" s="102" t="str">
        <f>IF(AND('Mapa final'!$AB$94="Alta",'Mapa final'!$AD$94="Moderado"),CONCATENATE("R30C",'Mapa final'!$R$94),"")</f>
        <v/>
      </c>
      <c r="Q85" s="41" t="str">
        <f>IF(AND('Mapa final'!$AB$95="Alta",'Mapa final'!$AD$95="Moderado"),CONCATENATE("R30C",'Mapa final'!$R$95),"")</f>
        <v/>
      </c>
      <c r="R85" s="103" t="str">
        <f>IF(AND('Mapa final'!$AB$96="Alta",'Mapa final'!$AD$96="Moderado"),CONCATENATE("R30C",'Mapa final'!$R$96),"")</f>
        <v/>
      </c>
      <c r="S85" s="102" t="str">
        <f>IF(AND('Mapa final'!$AB$94="Alta",'Mapa final'!$AD$94="Mayor"),CONCATENATE("R30C",'Mapa final'!$R$94),"")</f>
        <v/>
      </c>
      <c r="T85" s="41" t="str">
        <f>IF(AND('Mapa final'!$AB$95="Alta",'Mapa final'!$AD$95="Mayor"),CONCATENATE("R30C",'Mapa final'!$R$95),"")</f>
        <v/>
      </c>
      <c r="U85" s="103" t="str">
        <f>IF(AND('Mapa final'!$AB$96="Alta",'Mapa final'!$AD$96="Mayor"),CONCATENATE("R30C",'Mapa final'!$R$96),"")</f>
        <v/>
      </c>
      <c r="V85" s="42" t="str">
        <f>IF(AND('Mapa final'!$AB$94="Alta",'Mapa final'!$AD$94="Catastrófico"),CONCATENATE("R30C",'Mapa final'!$R$94),"")</f>
        <v/>
      </c>
      <c r="W85" s="43" t="str">
        <f>IF(AND('Mapa final'!$AB$95="Alta",'Mapa final'!$AD$95="Catastrófico"),CONCATENATE("R30C",'Mapa final'!$R$95),"")</f>
        <v/>
      </c>
      <c r="X85" s="97" t="str">
        <f>IF(AND('Mapa final'!$AB$96="Alta",'Mapa final'!$AD$96="Catastrófico"),CONCATENATE("R30C",'Mapa final'!$R$96),"")</f>
        <v/>
      </c>
      <c r="Y85" s="55"/>
      <c r="Z85" s="299"/>
      <c r="AA85" s="300"/>
      <c r="AB85" s="300"/>
      <c r="AC85" s="300"/>
      <c r="AD85" s="300"/>
      <c r="AE85" s="301"/>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row>
    <row r="86" spans="1:61" ht="15" customHeight="1" x14ac:dyDescent="0.25">
      <c r="A86" s="55"/>
      <c r="B86" s="316"/>
      <c r="C86" s="316"/>
      <c r="D86" s="317"/>
      <c r="E86" s="306"/>
      <c r="F86" s="305"/>
      <c r="G86" s="305"/>
      <c r="H86" s="305"/>
      <c r="I86" s="305"/>
      <c r="J86" s="48" t="str">
        <f>IF(AND('Mapa final'!$AB$97="Alta",'Mapa final'!$AD$97="Leve"),CONCATENATE("R31C",'Mapa final'!$R$97),"")</f>
        <v/>
      </c>
      <c r="K86" s="49" t="str">
        <f>IF(AND('Mapa final'!$AB$98="Alta",'Mapa final'!$AD$98="Leve"),CONCATENATE("R31C",'Mapa final'!$R$98),"")</f>
        <v/>
      </c>
      <c r="L86" s="108" t="str">
        <f>IF(AND('Mapa final'!$AB$99="Alta",'Mapa final'!$AD$99="Leve"),CONCATENATE("R31C",'Mapa final'!$R$99),"")</f>
        <v/>
      </c>
      <c r="M86" s="48" t="str">
        <f>IF(AND('Mapa final'!$AB$97="Alta",'Mapa final'!$AD$97="Menor"),CONCATENATE("R31C",'Mapa final'!$R$97),"")</f>
        <v/>
      </c>
      <c r="N86" s="49" t="str">
        <f>IF(AND('Mapa final'!$AB$98="Alta",'Mapa final'!$AD$98="Menor"),CONCATENATE("R31C",'Mapa final'!$R$98),"")</f>
        <v/>
      </c>
      <c r="O86" s="108" t="str">
        <f>IF(AND('Mapa final'!$AB$99="Alta",'Mapa final'!$AD$99="Menor"),CONCATENATE("R31C",'Mapa final'!$R$99),"")</f>
        <v/>
      </c>
      <c r="P86" s="102" t="str">
        <f>IF(AND('Mapa final'!$AB$97="Alta",'Mapa final'!$AD$97="Moderado"),CONCATENATE("R31C",'Mapa final'!$R$97),"")</f>
        <v/>
      </c>
      <c r="Q86" s="41" t="str">
        <f>IF(AND('Mapa final'!$AB$98="Alta",'Mapa final'!$AD$98="Moderado"),CONCATENATE("R31C",'Mapa final'!$R$98),"")</f>
        <v/>
      </c>
      <c r="R86" s="103" t="str">
        <f>IF(AND('Mapa final'!$AB$99="Alta",'Mapa final'!$AD$99="Moderado"),CONCATENATE("R31C",'Mapa final'!$R$99),"")</f>
        <v/>
      </c>
      <c r="S86" s="102" t="str">
        <f>IF(AND('Mapa final'!$AB$97="Alta",'Mapa final'!$AD$97="Mayor"),CONCATENATE("R31C",'Mapa final'!$R$97),"")</f>
        <v/>
      </c>
      <c r="T86" s="41" t="str">
        <f>IF(AND('Mapa final'!$AB$98="Alta",'Mapa final'!$AD$98="Mayor"),CONCATENATE("R31C",'Mapa final'!$R$98),"")</f>
        <v/>
      </c>
      <c r="U86" s="103" t="str">
        <f>IF(AND('Mapa final'!$AB$99="Alta",'Mapa final'!$AD$99="Mayor"),CONCATENATE("R31C",'Mapa final'!$R$99),"")</f>
        <v/>
      </c>
      <c r="V86" s="42" t="str">
        <f>IF(AND('Mapa final'!$AB$97="Alta",'Mapa final'!$AD$97="Catastrófico"),CONCATENATE("R31C",'Mapa final'!$R$97),"")</f>
        <v/>
      </c>
      <c r="W86" s="43" t="str">
        <f>IF(AND('Mapa final'!$AB$98="Alta",'Mapa final'!$AD$98="Catastrófico"),CONCATENATE("R31C",'Mapa final'!$R$98),"")</f>
        <v/>
      </c>
      <c r="X86" s="97" t="str">
        <f>IF(AND('Mapa final'!$AB$99="Alta",'Mapa final'!$AD$99="Catastrófico"),CONCATENATE("R31C",'Mapa final'!$R$99),"")</f>
        <v/>
      </c>
      <c r="Y86" s="55"/>
      <c r="Z86" s="299"/>
      <c r="AA86" s="300"/>
      <c r="AB86" s="300"/>
      <c r="AC86" s="300"/>
      <c r="AD86" s="300"/>
      <c r="AE86" s="301"/>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row>
    <row r="87" spans="1:61" ht="15" customHeight="1" x14ac:dyDescent="0.25">
      <c r="A87" s="55"/>
      <c r="B87" s="316"/>
      <c r="C87" s="316"/>
      <c r="D87" s="317"/>
      <c r="E87" s="306"/>
      <c r="F87" s="305"/>
      <c r="G87" s="305"/>
      <c r="H87" s="305"/>
      <c r="I87" s="305"/>
      <c r="J87" s="48" t="e">
        <f>IF(AND('Mapa final'!#REF!="Alta",'Mapa final'!#REF!="Leve"),CONCATENATE("R32C",'Mapa final'!#REF!),"")</f>
        <v>#REF!</v>
      </c>
      <c r="K87" s="49" t="e">
        <f>IF(AND('Mapa final'!#REF!="Alta",'Mapa final'!#REF!="Leve"),CONCATENATE("R32C",'Mapa final'!#REF!),"")</f>
        <v>#REF!</v>
      </c>
      <c r="L87" s="108" t="e">
        <f>IF(AND('Mapa final'!#REF!="Alta",'Mapa final'!#REF!="Leve"),CONCATENATE("R32C",'Mapa final'!#REF!),"")</f>
        <v>#REF!</v>
      </c>
      <c r="M87" s="48" t="e">
        <f>IF(AND('Mapa final'!#REF!="Alta",'Mapa final'!#REF!="Menor"),CONCATENATE("R32C",'Mapa final'!#REF!),"")</f>
        <v>#REF!</v>
      </c>
      <c r="N87" s="49" t="e">
        <f>IF(AND('Mapa final'!#REF!="Alta",'Mapa final'!#REF!="Menor"),CONCATENATE("R32C",'Mapa final'!#REF!),"")</f>
        <v>#REF!</v>
      </c>
      <c r="O87" s="108" t="e">
        <f>IF(AND('Mapa final'!#REF!="Alta",'Mapa final'!#REF!="Menor"),CONCATENATE("R32C",'Mapa final'!#REF!),"")</f>
        <v>#REF!</v>
      </c>
      <c r="P87" s="102" t="e">
        <f>IF(AND('Mapa final'!#REF!="Alta",'Mapa final'!#REF!="Moderado"),CONCATENATE("R32C",'Mapa final'!#REF!),"")</f>
        <v>#REF!</v>
      </c>
      <c r="Q87" s="41" t="e">
        <f>IF(AND('Mapa final'!#REF!="Alta",'Mapa final'!#REF!="Moderado"),CONCATENATE("R32C",'Mapa final'!#REF!),"")</f>
        <v>#REF!</v>
      </c>
      <c r="R87" s="41" t="e">
        <f>IF(AND('Mapa final'!#REF!="Alta",'Mapa final'!#REF!="Moderado"),CONCATENATE("R32C",'Mapa final'!#REF!),"")</f>
        <v>#REF!</v>
      </c>
      <c r="S87" s="102" t="e">
        <f>IF(AND('Mapa final'!#REF!="Alta",'Mapa final'!#REF!="Mayor"),CONCATENATE("R32C",'Mapa final'!#REF!),"")</f>
        <v>#REF!</v>
      </c>
      <c r="T87" s="41" t="e">
        <f>IF(AND('Mapa final'!#REF!="Alta",'Mapa final'!#REF!="Mayor"),CONCATENATE("R32C",'Mapa final'!#REF!),"")</f>
        <v>#REF!</v>
      </c>
      <c r="U87" s="103" t="e">
        <f>IF(AND('Mapa final'!#REF!="Alta",'Mapa final'!#REF!="Mayor"),CONCATENATE("R32C",'Mapa final'!#REF!),"")</f>
        <v>#REF!</v>
      </c>
      <c r="V87" s="42" t="e">
        <f>IF(AND('Mapa final'!#REF!="Alta",'Mapa final'!#REF!="Catastrófico"),CONCATENATE("R32C",'Mapa final'!#REF!),"")</f>
        <v>#REF!</v>
      </c>
      <c r="W87" s="43" t="e">
        <f>IF(AND('Mapa final'!#REF!="Alta",'Mapa final'!#REF!="Catastrófico"),CONCATENATE("R32C",'Mapa final'!#REF!),"")</f>
        <v>#REF!</v>
      </c>
      <c r="X87" s="97" t="e">
        <f>IF(AND('Mapa final'!#REF!="Alta",'Mapa final'!#REF!="Catastrófico"),CONCATENATE("R32C",'Mapa final'!#REF!),"")</f>
        <v>#REF!</v>
      </c>
      <c r="Y87" s="55"/>
      <c r="Z87" s="299"/>
      <c r="AA87" s="300"/>
      <c r="AB87" s="300"/>
      <c r="AC87" s="300"/>
      <c r="AD87" s="300"/>
      <c r="AE87" s="301"/>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row>
    <row r="88" spans="1:61" ht="15" customHeight="1" x14ac:dyDescent="0.25">
      <c r="A88" s="55"/>
      <c r="B88" s="316"/>
      <c r="C88" s="316"/>
      <c r="D88" s="317"/>
      <c r="E88" s="306"/>
      <c r="F88" s="305"/>
      <c r="G88" s="305"/>
      <c r="H88" s="305"/>
      <c r="I88" s="305"/>
      <c r="J88" s="48" t="str">
        <f>IF(AND('Mapa final'!$AB$100="Alta",'Mapa final'!$AD$100="Leve"),CONCATENATE("R33C",'Mapa final'!$R$100),"")</f>
        <v/>
      </c>
      <c r="K88" s="49" t="str">
        <f>IF(AND('Mapa final'!$AB$101="Alta",'Mapa final'!$AD$101="Leve"),CONCATENATE("R33C",'Mapa final'!$R$101),"")</f>
        <v/>
      </c>
      <c r="L88" s="108" t="str">
        <f>IF(AND('Mapa final'!$AB$102="Alta",'Mapa final'!$AD$102="Leve"),CONCATENATE("R33C",'Mapa final'!$R$102),"")</f>
        <v/>
      </c>
      <c r="M88" s="48" t="str">
        <f>IF(AND('Mapa final'!$AB$100="Alta",'Mapa final'!$AD$100="Menor"),CONCATENATE("R33C",'Mapa final'!$R$100),"")</f>
        <v/>
      </c>
      <c r="N88" s="49" t="str">
        <f>IF(AND('Mapa final'!$AB$101="Alta",'Mapa final'!$AD$101="Menor"),CONCATENATE("R33C",'Mapa final'!$R$101),"")</f>
        <v/>
      </c>
      <c r="O88" s="108" t="str">
        <f>IF(AND('Mapa final'!$AB$102="Alta",'Mapa final'!$AD$102="Menor"),CONCATENATE("R33C",'Mapa final'!$R$102),"")</f>
        <v/>
      </c>
      <c r="P88" s="102" t="str">
        <f>IF(AND('Mapa final'!$AB$100="Alta",'Mapa final'!$AD$100="Moderado"),CONCATENATE("R33C",'Mapa final'!$R$100),"")</f>
        <v/>
      </c>
      <c r="Q88" s="41" t="str">
        <f>IF(AND('Mapa final'!$AB$101="Alta",'Mapa final'!$AD$101="Moderado"),CONCATENATE("R33C",'Mapa final'!$R$101),"")</f>
        <v/>
      </c>
      <c r="R88" s="41" t="str">
        <f>IF(AND('Mapa final'!$AB$102="Alta",'Mapa final'!$AD$102="Moderado"),CONCATENATE("R33C",'Mapa final'!$R$102),"")</f>
        <v/>
      </c>
      <c r="S88" s="102" t="str">
        <f>IF(AND('Mapa final'!$AB$100="Alta",'Mapa final'!$AD$100="Mayor"),CONCATENATE("R33C",'Mapa final'!$R$100),"")</f>
        <v/>
      </c>
      <c r="T88" s="41" t="str">
        <f>IF(AND('Mapa final'!$AB$101="Alta",'Mapa final'!$AD$101="Mayor"),CONCATENATE("R33C",'Mapa final'!$R$101),"")</f>
        <v/>
      </c>
      <c r="U88" s="103" t="str">
        <f>IF(AND('Mapa final'!$AB$102="Alta",'Mapa final'!$AD$102="Mayor"),CONCATENATE("R33C",'Mapa final'!$R$102),"")</f>
        <v/>
      </c>
      <c r="V88" s="42" t="str">
        <f>IF(AND('Mapa final'!$AB$100="Alta",'Mapa final'!$AD$100="Catastrófico"),CONCATENATE("R33C",'Mapa final'!$R$100),"")</f>
        <v/>
      </c>
      <c r="W88" s="43" t="str">
        <f>IF(AND('Mapa final'!$AB$101="Alta",'Mapa final'!$AD$101="Catastrófico"),CONCATENATE("R33C",'Mapa final'!$R$101),"")</f>
        <v/>
      </c>
      <c r="X88" s="97" t="str">
        <f>IF(AND('Mapa final'!$AB$102="Alta",'Mapa final'!$AD$102="Catastrófico"),CONCATENATE("R33C",'Mapa final'!$R$102),"")</f>
        <v/>
      </c>
      <c r="Y88" s="55"/>
      <c r="Z88" s="299"/>
      <c r="AA88" s="300"/>
      <c r="AB88" s="300"/>
      <c r="AC88" s="300"/>
      <c r="AD88" s="300"/>
      <c r="AE88" s="301"/>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row>
    <row r="89" spans="1:61" ht="15" customHeight="1" x14ac:dyDescent="0.25">
      <c r="A89" s="55"/>
      <c r="B89" s="316"/>
      <c r="C89" s="316"/>
      <c r="D89" s="317"/>
      <c r="E89" s="306"/>
      <c r="F89" s="305"/>
      <c r="G89" s="305"/>
      <c r="H89" s="305"/>
      <c r="I89" s="305"/>
      <c r="J89" s="48" t="str">
        <f>IF(AND('Mapa final'!$AB$103="Alta",'Mapa final'!$AD$103="Leve"),CONCATENATE("R34C",'Mapa final'!$R$103),"")</f>
        <v/>
      </c>
      <c r="K89" s="49" t="str">
        <f>IF(AND('Mapa final'!$AB$104="Alta",'Mapa final'!$AD$104="Leve"),CONCATENATE("R34C",'Mapa final'!$R$104),"")</f>
        <v/>
      </c>
      <c r="L89" s="108" t="str">
        <f>IF(AND('Mapa final'!$AB$105="Alta",'Mapa final'!$AD$105="Leve"),CONCATENATE("R34C",'Mapa final'!$R$105),"")</f>
        <v/>
      </c>
      <c r="M89" s="48" t="str">
        <f>IF(AND('Mapa final'!$AB$103="Alta",'Mapa final'!$AD$103="Menor"),CONCATENATE("R34C",'Mapa final'!$R$103),"")</f>
        <v/>
      </c>
      <c r="N89" s="49" t="str">
        <f>IF(AND('Mapa final'!$AB$104="Alta",'Mapa final'!$AD$104="Menor"),CONCATENATE("R34C",'Mapa final'!$R$104),"")</f>
        <v/>
      </c>
      <c r="O89" s="108" t="str">
        <f>IF(AND('Mapa final'!$AB$105="Alta",'Mapa final'!$AD$105="Menor"),CONCATENATE("R34C",'Mapa final'!$R$105),"")</f>
        <v/>
      </c>
      <c r="P89" s="102" t="str">
        <f>IF(AND('Mapa final'!$AB$103="Alta",'Mapa final'!$AD$103="Moderado"),CONCATENATE("R34C",'Mapa final'!$R$103),"")</f>
        <v/>
      </c>
      <c r="Q89" s="41" t="str">
        <f>IF(AND('Mapa final'!$AB$104="Alta",'Mapa final'!$AD$104="Moderado"),CONCATENATE("R34C",'Mapa final'!$R$104),"")</f>
        <v/>
      </c>
      <c r="R89" s="103" t="str">
        <f>IF(AND('Mapa final'!$AB$105="Alta",'Mapa final'!$AD$105="Moderado"),CONCATENATE("R34C",'Mapa final'!$R$105),"")</f>
        <v/>
      </c>
      <c r="S89" s="102" t="str">
        <f>IF(AND('Mapa final'!$AB$103="Alta",'Mapa final'!$AD$103="Mayor"),CONCATENATE("R34C",'Mapa final'!$R$103),"")</f>
        <v/>
      </c>
      <c r="T89" s="41" t="str">
        <f>IF(AND('Mapa final'!$AB$104="Alta",'Mapa final'!$AD$104="Mayor"),CONCATENATE("R34C",'Mapa final'!$R$104),"")</f>
        <v/>
      </c>
      <c r="U89" s="103" t="str">
        <f>IF(AND('Mapa final'!$AB$105="Alta",'Mapa final'!$AD$105="Mayor"),CONCATENATE("R34C",'Mapa final'!$R$105),"")</f>
        <v/>
      </c>
      <c r="V89" s="42" t="str">
        <f>IF(AND('Mapa final'!$AB$103="Alta",'Mapa final'!$AD$103="Catastrófico"),CONCATENATE("R34C",'Mapa final'!$R$103),"")</f>
        <v/>
      </c>
      <c r="W89" s="43" t="str">
        <f>IF(AND('Mapa final'!$AB$104="Alta",'Mapa final'!$AD$104="Catastrófico"),CONCATENATE("R34C",'Mapa final'!$R$104),"")</f>
        <v/>
      </c>
      <c r="X89" s="97" t="str">
        <f>IF(AND('Mapa final'!$AB$105="Alta",'Mapa final'!$AD$105="Catastrófico"),CONCATENATE("R34C",'Mapa final'!$R$105),"")</f>
        <v/>
      </c>
      <c r="Y89" s="55"/>
      <c r="Z89" s="299"/>
      <c r="AA89" s="300"/>
      <c r="AB89" s="300"/>
      <c r="AC89" s="300"/>
      <c r="AD89" s="300"/>
      <c r="AE89" s="301"/>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row>
    <row r="90" spans="1:61" ht="15" customHeight="1" x14ac:dyDescent="0.25">
      <c r="A90" s="55"/>
      <c r="B90" s="316"/>
      <c r="C90" s="316"/>
      <c r="D90" s="317"/>
      <c r="E90" s="306"/>
      <c r="F90" s="305"/>
      <c r="G90" s="305"/>
      <c r="H90" s="305"/>
      <c r="I90" s="305"/>
      <c r="J90" s="48" t="str">
        <f>IF(AND('Mapa final'!$AB$106="Alta",'Mapa final'!$AD$106="Leve"),CONCATENATE("R35C",'Mapa final'!$R$106),"")</f>
        <v/>
      </c>
      <c r="K90" s="49" t="str">
        <f>IF(AND('Mapa final'!$AB$107="Alta",'Mapa final'!$AD$107="Leve"),CONCATENATE("R35C",'Mapa final'!$R$107),"")</f>
        <v/>
      </c>
      <c r="L90" s="108" t="str">
        <f>IF(AND('Mapa final'!$AB$108="Alta",'Mapa final'!$AD$108="Leve"),CONCATENATE("R35C",'Mapa final'!$R$108),"")</f>
        <v/>
      </c>
      <c r="M90" s="48" t="str">
        <f>IF(AND('Mapa final'!$AB$106="Alta",'Mapa final'!$AD$106="Menor"),CONCATENATE("R35C",'Mapa final'!$R$106),"")</f>
        <v/>
      </c>
      <c r="N90" s="49" t="str">
        <f>IF(AND('Mapa final'!$AB$107="Alta",'Mapa final'!$AD$107="Menor"),CONCATENATE("R35C",'Mapa final'!$R$107),"")</f>
        <v/>
      </c>
      <c r="O90" s="108" t="str">
        <f>IF(AND('Mapa final'!$AB$108="Alta",'Mapa final'!$AD$108="Menor"),CONCATENATE("R35C",'Mapa final'!$R$108),"")</f>
        <v/>
      </c>
      <c r="P90" s="102" t="str">
        <f>IF(AND('Mapa final'!$AB$106="Alta",'Mapa final'!$AD$106="Moderado"),CONCATENATE("R35C",'Mapa final'!$R$106),"")</f>
        <v/>
      </c>
      <c r="Q90" s="41" t="str">
        <f>IF(AND('Mapa final'!$AB$107="Alta",'Mapa final'!$AD$107="Moderado"),CONCATENATE("R35C",'Mapa final'!$R$107),"")</f>
        <v/>
      </c>
      <c r="R90" s="103" t="str">
        <f>IF(AND('Mapa final'!$AB$108="Alta",'Mapa final'!$AD$108="Moderado"),CONCATENATE("R35C",'Mapa final'!$R$108),"")</f>
        <v/>
      </c>
      <c r="S90" s="102" t="str">
        <f>IF(AND('Mapa final'!$AB$106="Alta",'Mapa final'!$AD$106="Mayor"),CONCATENATE("R35C",'Mapa final'!$R$106),"")</f>
        <v/>
      </c>
      <c r="T90" s="41" t="str">
        <f>IF(AND('Mapa final'!$AB$107="Alta",'Mapa final'!$AD$107="Mayor"),CONCATENATE("R35C",'Mapa final'!$R$107),"")</f>
        <v/>
      </c>
      <c r="U90" s="103" t="str">
        <f>IF(AND('Mapa final'!$AB$108="Alta",'Mapa final'!$AD$108="Mayor"),CONCATENATE("R35C",'Mapa final'!$R$108),"")</f>
        <v/>
      </c>
      <c r="V90" s="42" t="str">
        <f>IF(AND('Mapa final'!$AB$106="Alta",'Mapa final'!$AD$106="Catastrófico"),CONCATENATE("R35C",'Mapa final'!$R$106),"")</f>
        <v/>
      </c>
      <c r="W90" s="43" t="str">
        <f>IF(AND('Mapa final'!$AB$107="Alta",'Mapa final'!$AD$107="Catastrófico"),CONCATENATE("R35C",'Mapa final'!$R$107),"")</f>
        <v/>
      </c>
      <c r="X90" s="97" t="str">
        <f>IF(AND('Mapa final'!$AB$108="Alta",'Mapa final'!$AD$108="Catastrófico"),CONCATENATE("R35C",'Mapa final'!$R$108),"")</f>
        <v/>
      </c>
      <c r="Y90" s="55"/>
      <c r="Z90" s="299"/>
      <c r="AA90" s="300"/>
      <c r="AB90" s="300"/>
      <c r="AC90" s="300"/>
      <c r="AD90" s="300"/>
      <c r="AE90" s="301"/>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row>
    <row r="91" spans="1:61" ht="15" customHeight="1" x14ac:dyDescent="0.25">
      <c r="A91" s="55"/>
      <c r="B91" s="316"/>
      <c r="C91" s="316"/>
      <c r="D91" s="317"/>
      <c r="E91" s="306"/>
      <c r="F91" s="305"/>
      <c r="G91" s="305"/>
      <c r="H91" s="305"/>
      <c r="I91" s="305"/>
      <c r="J91" s="48" t="str">
        <f>IF(AND('Mapa final'!$AB$109="Alta",'Mapa final'!$AD$109="Leve"),CONCATENATE("R36C",'Mapa final'!$R$109),"")</f>
        <v/>
      </c>
      <c r="K91" s="49" t="str">
        <f>IF(AND('Mapa final'!$AB$110="Alta",'Mapa final'!$AD$110="Leve"),CONCATENATE("R36C",'Mapa final'!$R$110),"")</f>
        <v/>
      </c>
      <c r="L91" s="108" t="str">
        <f>IF(AND('Mapa final'!$AB$111="Alta",'Mapa final'!$AD$111="Leve"),CONCATENATE("R36C",'Mapa final'!$R$111),"")</f>
        <v/>
      </c>
      <c r="M91" s="48" t="str">
        <f>IF(AND('Mapa final'!$AB$109="Alta",'Mapa final'!$AD$109="Menor"),CONCATENATE("R36C",'Mapa final'!$R$109),"")</f>
        <v/>
      </c>
      <c r="N91" s="49" t="str">
        <f>IF(AND('Mapa final'!$AB$110="Alta",'Mapa final'!$AD$110="Menor"),CONCATENATE("R36C",'Mapa final'!$R$110),"")</f>
        <v/>
      </c>
      <c r="O91" s="108" t="str">
        <f>IF(AND('Mapa final'!$AB$111="Alta",'Mapa final'!$AD$111="Menor"),CONCATENATE("R36C",'Mapa final'!$R$111),"")</f>
        <v/>
      </c>
      <c r="P91" s="102" t="str">
        <f>IF(AND('Mapa final'!$AB$109="Alta",'Mapa final'!$AD$109="Moderado"),CONCATENATE("R36C",'Mapa final'!$R$109),"")</f>
        <v/>
      </c>
      <c r="Q91" s="41" t="str">
        <f>IF(AND('Mapa final'!$AB$110="Alta",'Mapa final'!$AD$110="Moderado"),CONCATENATE("R36C",'Mapa final'!$R$110),"")</f>
        <v/>
      </c>
      <c r="R91" s="103" t="str">
        <f>IF(AND('Mapa final'!$AB$111="Alta",'Mapa final'!$AD$111="Moderado"),CONCATENATE("R36C",'Mapa final'!$R$111),"")</f>
        <v/>
      </c>
      <c r="S91" s="102" t="str">
        <f>IF(AND('Mapa final'!$AB$109="Alta",'Mapa final'!$AD$109="Mayor"),CONCATENATE("R36C",'Mapa final'!$R$109),"")</f>
        <v/>
      </c>
      <c r="T91" s="41" t="str">
        <f>IF(AND('Mapa final'!$AB$110="Alta",'Mapa final'!$AD$110="Mayor"),CONCATENATE("R36C",'Mapa final'!$R$110),"")</f>
        <v/>
      </c>
      <c r="U91" s="103" t="str">
        <f>IF(AND('Mapa final'!$AB$111="Alta",'Mapa final'!$AD$111="Mayor"),CONCATENATE("R36C",'Mapa final'!$R$111),"")</f>
        <v/>
      </c>
      <c r="V91" s="42" t="str">
        <f>IF(AND('Mapa final'!$AB$109="Alta",'Mapa final'!$AD$109="Catastrófico"),CONCATENATE("R36C",'Mapa final'!$R$109),"")</f>
        <v/>
      </c>
      <c r="W91" s="43" t="str">
        <f>IF(AND('Mapa final'!$AB$110="Alta",'Mapa final'!$AD$110="Catastrófico"),CONCATENATE("R36C",'Mapa final'!$R$110),"")</f>
        <v/>
      </c>
      <c r="X91" s="97" t="str">
        <f>IF(AND('Mapa final'!$AB$111="Alta",'Mapa final'!$AD$111="Catastrófico"),CONCATENATE("R36C",'Mapa final'!$R$111),"")</f>
        <v/>
      </c>
      <c r="Y91" s="55"/>
      <c r="Z91" s="299"/>
      <c r="AA91" s="300"/>
      <c r="AB91" s="300"/>
      <c r="AC91" s="300"/>
      <c r="AD91" s="300"/>
      <c r="AE91" s="301"/>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row>
    <row r="92" spans="1:61" ht="15" customHeight="1" x14ac:dyDescent="0.25">
      <c r="A92" s="55"/>
      <c r="B92" s="316"/>
      <c r="C92" s="316"/>
      <c r="D92" s="317"/>
      <c r="E92" s="306"/>
      <c r="F92" s="305"/>
      <c r="G92" s="305"/>
      <c r="H92" s="305"/>
      <c r="I92" s="305"/>
      <c r="J92" s="48" t="str">
        <f>IF(AND('Mapa final'!$AB$112="Alta",'Mapa final'!$AD$112="Leve"),CONCATENATE("R37C",'Mapa final'!$R$112),"")</f>
        <v/>
      </c>
      <c r="K92" s="49" t="str">
        <f>IF(AND('Mapa final'!$AB$113="Alta",'Mapa final'!$AD$113="Leve"),CONCATENATE("R37C",'Mapa final'!$R$113),"")</f>
        <v/>
      </c>
      <c r="L92" s="108" t="str">
        <f>IF(AND('Mapa final'!$AB$114="Alta",'Mapa final'!$AD$114="Leve"),CONCATENATE("R37C",'Mapa final'!$R$114),"")</f>
        <v/>
      </c>
      <c r="M92" s="48" t="str">
        <f>IF(AND('Mapa final'!$AB$112="Alta",'Mapa final'!$AD$112="Menor"),CONCATENATE("R37C",'Mapa final'!$R$112),"")</f>
        <v/>
      </c>
      <c r="N92" s="49" t="str">
        <f>IF(AND('Mapa final'!$AB$113="Alta",'Mapa final'!$AD$113="Menor"),CONCATENATE("R37C",'Mapa final'!$R$113),"")</f>
        <v/>
      </c>
      <c r="O92" s="108" t="str">
        <f>IF(AND('Mapa final'!$AB$114="Alta",'Mapa final'!$AD$114="Menor"),CONCATENATE("R37C",'Mapa final'!$R$114),"")</f>
        <v/>
      </c>
      <c r="P92" s="102" t="str">
        <f>IF(AND('Mapa final'!$AB$112="Alta",'Mapa final'!$AD$112="Moderado"),CONCATENATE("R37C",'Mapa final'!$R$112),"")</f>
        <v/>
      </c>
      <c r="Q92" s="41" t="str">
        <f>IF(AND('Mapa final'!$AB$113="Alta",'Mapa final'!$AD$113="Moderado"),CONCATENATE("R37C",'Mapa final'!$R$113),"")</f>
        <v/>
      </c>
      <c r="R92" s="103" t="str">
        <f>IF(AND('Mapa final'!$AB$114="Alta",'Mapa final'!$AD$114="Moderado"),CONCATENATE("R37C",'Mapa final'!$R$114),"")</f>
        <v/>
      </c>
      <c r="S92" s="102" t="str">
        <f>IF(AND('Mapa final'!$AB$112="Alta",'Mapa final'!$AD$112="Mayor"),CONCATENATE("R37C",'Mapa final'!$R$112),"")</f>
        <v/>
      </c>
      <c r="T92" s="41" t="str">
        <f>IF(AND('Mapa final'!$AB$113="Alta",'Mapa final'!$AD$113="Mayor"),CONCATENATE("R37C",'Mapa final'!$R$113),"")</f>
        <v/>
      </c>
      <c r="U92" s="103" t="str">
        <f>IF(AND('Mapa final'!$AB$114="Alta",'Mapa final'!$AD$114="Mayor"),CONCATENATE("R37C",'Mapa final'!$R$114),"")</f>
        <v/>
      </c>
      <c r="V92" s="42" t="str">
        <f>IF(AND('Mapa final'!$AB$112="Alta",'Mapa final'!$AD$112="Catastrófico"),CONCATENATE("R37C",'Mapa final'!$R$112),"")</f>
        <v/>
      </c>
      <c r="W92" s="43" t="str">
        <f>IF(AND('Mapa final'!$AB$113="Alta",'Mapa final'!$AD$113="Catastrófico"),CONCATENATE("R37C",'Mapa final'!$R$113),"")</f>
        <v/>
      </c>
      <c r="X92" s="97" t="str">
        <f>IF(AND('Mapa final'!$AB$114="Alta",'Mapa final'!$AD$114="Catastrófico"),CONCATENATE("R37C",'Mapa final'!$R$114),"")</f>
        <v/>
      </c>
      <c r="Y92" s="55"/>
      <c r="Z92" s="299"/>
      <c r="AA92" s="300"/>
      <c r="AB92" s="300"/>
      <c r="AC92" s="300"/>
      <c r="AD92" s="300"/>
      <c r="AE92" s="301"/>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row>
    <row r="93" spans="1:61" ht="15" customHeight="1" x14ac:dyDescent="0.25">
      <c r="A93" s="55"/>
      <c r="B93" s="316"/>
      <c r="C93" s="316"/>
      <c r="D93" s="317"/>
      <c r="E93" s="306"/>
      <c r="F93" s="305"/>
      <c r="G93" s="305"/>
      <c r="H93" s="305"/>
      <c r="I93" s="305"/>
      <c r="J93" s="48" t="str">
        <f>IF(AND('Mapa final'!$AB$115="Alta",'Mapa final'!$AD$115="Leve"),CONCATENATE("R38C",'Mapa final'!$R$115),"")</f>
        <v/>
      </c>
      <c r="K93" s="49" t="str">
        <f>IF(AND('Mapa final'!$AB$116="Alta",'Mapa final'!$AD$116="Leve"),CONCATENATE("R38C",'Mapa final'!$R$116),"")</f>
        <v/>
      </c>
      <c r="L93" s="108" t="str">
        <f>IF(AND('Mapa final'!$AB$117="Alta",'Mapa final'!$AD$117="Leve"),CONCATENATE("R38C",'Mapa final'!$R$117),"")</f>
        <v/>
      </c>
      <c r="M93" s="48" t="str">
        <f>IF(AND('Mapa final'!$AB$115="Alta",'Mapa final'!$AD$115="Menor"),CONCATENATE("R38C",'Mapa final'!$R$115),"")</f>
        <v/>
      </c>
      <c r="N93" s="49" t="str">
        <f>IF(AND('Mapa final'!$AB$116="Alta",'Mapa final'!$AD$116="Menor"),CONCATENATE("R38C",'Mapa final'!$R$116),"")</f>
        <v/>
      </c>
      <c r="O93" s="108" t="str">
        <f>IF(AND('Mapa final'!$AB$117="Alta",'Mapa final'!$AD$117="Menor"),CONCATENATE("R38C",'Mapa final'!$R$117),"")</f>
        <v/>
      </c>
      <c r="P93" s="102" t="str">
        <f>IF(AND('Mapa final'!$AB$115="Alta",'Mapa final'!$AD$115="Moderado"),CONCATENATE("R38C",'Mapa final'!$R$115),"")</f>
        <v/>
      </c>
      <c r="Q93" s="41" t="str">
        <f>IF(AND('Mapa final'!$AB$116="Alta",'Mapa final'!$AD$116="Moderado"),CONCATENATE("R38C",'Mapa final'!$R$116),"")</f>
        <v/>
      </c>
      <c r="R93" s="103" t="str">
        <f>IF(AND('Mapa final'!$AB$117="Alta",'Mapa final'!$AD$117="Moderado"),CONCATENATE("R38C",'Mapa final'!$R$117),"")</f>
        <v/>
      </c>
      <c r="S93" s="102" t="str">
        <f>IF(AND('Mapa final'!$AB$115="Alta",'Mapa final'!$AD$115="Mayor"),CONCATENATE("R38C",'Mapa final'!$R$115),"")</f>
        <v/>
      </c>
      <c r="T93" s="41" t="str">
        <f>IF(AND('Mapa final'!$AB$116="Alta",'Mapa final'!$AD$116="Mayor"),CONCATENATE("R38C",'Mapa final'!$R$116),"")</f>
        <v/>
      </c>
      <c r="U93" s="103" t="str">
        <f>IF(AND('Mapa final'!$AB$117="Alta",'Mapa final'!$AD$117="Mayor"),CONCATENATE("R38C",'Mapa final'!$R$117),"")</f>
        <v/>
      </c>
      <c r="V93" s="42" t="str">
        <f>IF(AND('Mapa final'!$AB$115="Alta",'Mapa final'!$AD$115="Catastrófico"),CONCATENATE("R38C",'Mapa final'!$R$115),"")</f>
        <v/>
      </c>
      <c r="W93" s="43" t="str">
        <f>IF(AND('Mapa final'!$AB$116="Alta",'Mapa final'!$AD$116="Catastrófico"),CONCATENATE("R38C",'Mapa final'!$R$116),"")</f>
        <v/>
      </c>
      <c r="X93" s="97" t="str">
        <f>IF(AND('Mapa final'!$AB$117="Alta",'Mapa final'!$AD$117="Catastrófico"),CONCATENATE("R38C",'Mapa final'!$R$117),"")</f>
        <v/>
      </c>
      <c r="Y93" s="55"/>
      <c r="Z93" s="299"/>
      <c r="AA93" s="300"/>
      <c r="AB93" s="300"/>
      <c r="AC93" s="300"/>
      <c r="AD93" s="300"/>
      <c r="AE93" s="301"/>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row>
    <row r="94" spans="1:61" ht="15" customHeight="1" x14ac:dyDescent="0.25">
      <c r="A94" s="55"/>
      <c r="B94" s="316"/>
      <c r="C94" s="316"/>
      <c r="D94" s="317"/>
      <c r="E94" s="306"/>
      <c r="F94" s="305"/>
      <c r="G94" s="305"/>
      <c r="H94" s="305"/>
      <c r="I94" s="305"/>
      <c r="J94" s="48" t="str">
        <f>IF(AND('Mapa final'!$AB$118="Alta",'Mapa final'!$AD$118="Leve"),CONCATENATE("R39C",'Mapa final'!$R$118),"")</f>
        <v/>
      </c>
      <c r="K94" s="49" t="str">
        <f>IF(AND('Mapa final'!$AB$119="Alta",'Mapa final'!$AD$119="Leve"),CONCATENATE("R39C",'Mapa final'!$R$119),"")</f>
        <v/>
      </c>
      <c r="L94" s="108" t="str">
        <f>IF(AND('Mapa final'!$AB$120="Alta",'Mapa final'!$AD$120="Leve"),CONCATENATE("R39C",'Mapa final'!$R$120),"")</f>
        <v/>
      </c>
      <c r="M94" s="48" t="str">
        <f>IF(AND('Mapa final'!$AB$118="Alta",'Mapa final'!$AD$118="Menor"),CONCATENATE("R39C",'Mapa final'!$R$118),"")</f>
        <v/>
      </c>
      <c r="N94" s="49" t="str">
        <f>IF(AND('Mapa final'!$AB$119="Alta",'Mapa final'!$AD$119="Menor"),CONCATENATE("R39C",'Mapa final'!$R$119),"")</f>
        <v/>
      </c>
      <c r="O94" s="108" t="str">
        <f>IF(AND('Mapa final'!$AB$120="Alta",'Mapa final'!$AD$120="Menor"),CONCATENATE("R39C",'Mapa final'!$R$120),"")</f>
        <v/>
      </c>
      <c r="P94" s="102" t="str">
        <f>IF(AND('Mapa final'!$AB$118="Alta",'Mapa final'!$AD$118="Moderado"),CONCATENATE("R39C",'Mapa final'!$R$118),"")</f>
        <v/>
      </c>
      <c r="Q94" s="41" t="str">
        <f>IF(AND('Mapa final'!$AB$119="Alta",'Mapa final'!$AD$119="Moderado"),CONCATENATE("R39C",'Mapa final'!$R$119),"")</f>
        <v/>
      </c>
      <c r="R94" s="103" t="str">
        <f>IF(AND('Mapa final'!$AB$120="Alta",'Mapa final'!$AD$120="Moderado"),CONCATENATE("R39C",'Mapa final'!$R$120),"")</f>
        <v/>
      </c>
      <c r="S94" s="102" t="str">
        <f>IF(AND('Mapa final'!$AB$118="Alta",'Mapa final'!$AD$118="Mayor"),CONCATENATE("R39C",'Mapa final'!$R$118),"")</f>
        <v/>
      </c>
      <c r="T94" s="41" t="str">
        <f>IF(AND('Mapa final'!$AB$119="Alta",'Mapa final'!$AD$119="Mayor"),CONCATENATE("R39C",'Mapa final'!$R$119),"")</f>
        <v/>
      </c>
      <c r="U94" s="103" t="str">
        <f>IF(AND('Mapa final'!$AB$120="Alta",'Mapa final'!$AD$120="Mayor"),CONCATENATE("R39C",'Mapa final'!$R$120),"")</f>
        <v/>
      </c>
      <c r="V94" s="42" t="str">
        <f>IF(AND('Mapa final'!$AB$118="Alta",'Mapa final'!$AD$118="Catastrófico"),CONCATENATE("R39C",'Mapa final'!$R$118),"")</f>
        <v/>
      </c>
      <c r="W94" s="43" t="str">
        <f>IF(AND('Mapa final'!$AB$119="Alta",'Mapa final'!$AD$119="Catastrófico"),CONCATENATE("R39C",'Mapa final'!$R$119),"")</f>
        <v/>
      </c>
      <c r="X94" s="97" t="str">
        <f>IF(AND('Mapa final'!$AB$120="Alta",'Mapa final'!$AD$120="Catastrófico"),CONCATENATE("R39C",'Mapa final'!$R$120),"")</f>
        <v/>
      </c>
      <c r="Y94" s="55"/>
      <c r="Z94" s="299"/>
      <c r="AA94" s="300"/>
      <c r="AB94" s="300"/>
      <c r="AC94" s="300"/>
      <c r="AD94" s="300"/>
      <c r="AE94" s="301"/>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row>
    <row r="95" spans="1:61" ht="15" customHeight="1" x14ac:dyDescent="0.25">
      <c r="A95" s="55"/>
      <c r="B95" s="316"/>
      <c r="C95" s="316"/>
      <c r="D95" s="317"/>
      <c r="E95" s="306"/>
      <c r="F95" s="305"/>
      <c r="G95" s="305"/>
      <c r="H95" s="305"/>
      <c r="I95" s="305"/>
      <c r="J95" s="48" t="str">
        <f>IF(AND('Mapa final'!$AB$121="Alta",'Mapa final'!$AD$121="Leve"),CONCATENATE("R40C",'Mapa final'!$R$121),"")</f>
        <v/>
      </c>
      <c r="K95" s="49" t="str">
        <f>IF(AND('Mapa final'!$AB$122="Alta",'Mapa final'!$AD$122="Leve"),CONCATENATE("R40C",'Mapa final'!$R$122),"")</f>
        <v/>
      </c>
      <c r="L95" s="108" t="str">
        <f>IF(AND('Mapa final'!$AB$123="Alta",'Mapa final'!$AD$123="Leve"),CONCATENATE("R40C",'Mapa final'!$R$123),"")</f>
        <v/>
      </c>
      <c r="M95" s="48" t="str">
        <f>IF(AND('Mapa final'!$AB$121="Alta",'Mapa final'!$AD$121="Menor"),CONCATENATE("R40C",'Mapa final'!$R$121),"")</f>
        <v/>
      </c>
      <c r="N95" s="49" t="str">
        <f>IF(AND('Mapa final'!$AB$122="Alta",'Mapa final'!$AD$122="Menor"),CONCATENATE("R40C",'Mapa final'!$R$122),"")</f>
        <v/>
      </c>
      <c r="O95" s="108" t="str">
        <f>IF(AND('Mapa final'!$AB$123="Alta",'Mapa final'!$AD$123="Menor"),CONCATENATE("R40C",'Mapa final'!$R$123),"")</f>
        <v/>
      </c>
      <c r="P95" s="102" t="str">
        <f>IF(AND('Mapa final'!$AB$121="Alta",'Mapa final'!$AD$121="Moderado"),CONCATENATE("R40C",'Mapa final'!$R$121),"")</f>
        <v/>
      </c>
      <c r="Q95" s="41" t="str">
        <f>IF(AND('Mapa final'!$AB$122="Alta",'Mapa final'!$AD$122="Moderado"),CONCATENATE("R40C",'Mapa final'!$R$122),"")</f>
        <v/>
      </c>
      <c r="R95" s="103" t="str">
        <f>IF(AND('Mapa final'!$AB$123="Alta",'Mapa final'!$AD$123="Moderado"),CONCATENATE("R40C",'Mapa final'!$R$123),"")</f>
        <v/>
      </c>
      <c r="S95" s="102" t="str">
        <f>IF(AND('Mapa final'!$AB$121="Alta",'Mapa final'!$AD$121="Mayor"),CONCATENATE("R40C",'Mapa final'!$R$121),"")</f>
        <v/>
      </c>
      <c r="T95" s="41" t="str">
        <f>IF(AND('Mapa final'!$AB$122="Alta",'Mapa final'!$AD$122="Mayor"),CONCATENATE("R40C",'Mapa final'!$R$122),"")</f>
        <v/>
      </c>
      <c r="U95" s="103" t="str">
        <f>IF(AND('Mapa final'!$AB$123="Alta",'Mapa final'!$AD$123="Mayor"),CONCATENATE("R40C",'Mapa final'!$R$123),"")</f>
        <v/>
      </c>
      <c r="V95" s="42" t="str">
        <f>IF(AND('Mapa final'!$AB$121="Alta",'Mapa final'!$AD$121="Catastrófico"),CONCATENATE("R40C",'Mapa final'!$R$121),"")</f>
        <v/>
      </c>
      <c r="W95" s="43" t="str">
        <f>IF(AND('Mapa final'!$AB$122="Alta",'Mapa final'!$AD$122="Catastrófico"),CONCATENATE("R40C",'Mapa final'!$R$122),"")</f>
        <v/>
      </c>
      <c r="X95" s="97" t="str">
        <f>IF(AND('Mapa final'!$AB$123="Alta",'Mapa final'!$AD$123="Catastrófico"),CONCATENATE("R40C",'Mapa final'!$R$123),"")</f>
        <v/>
      </c>
      <c r="Y95" s="55"/>
      <c r="Z95" s="299"/>
      <c r="AA95" s="300"/>
      <c r="AB95" s="300"/>
      <c r="AC95" s="300"/>
      <c r="AD95" s="300"/>
      <c r="AE95" s="301"/>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row>
    <row r="96" spans="1:61" ht="15" customHeight="1" x14ac:dyDescent="0.25">
      <c r="A96" s="55"/>
      <c r="B96" s="316"/>
      <c r="C96" s="316"/>
      <c r="D96" s="317"/>
      <c r="E96" s="306"/>
      <c r="F96" s="305"/>
      <c r="G96" s="305"/>
      <c r="H96" s="305"/>
      <c r="I96" s="305"/>
      <c r="J96" s="48" t="str">
        <f>IF(AND('Mapa final'!$AB$124="Alta",'Mapa final'!$AD$124="Leve"),CONCATENATE("R41C",'Mapa final'!$R$124),"")</f>
        <v/>
      </c>
      <c r="K96" s="49" t="str">
        <f>IF(AND('Mapa final'!$AB$125="Alta",'Mapa final'!$AD$125="Leve"),CONCATENATE("R41C",'Mapa final'!$R$125),"")</f>
        <v/>
      </c>
      <c r="L96" s="108" t="str">
        <f>IF(AND('Mapa final'!$AB$126="Alta",'Mapa final'!$AD$126="Leve"),CONCATENATE("R41C",'Mapa final'!$R$126),"")</f>
        <v/>
      </c>
      <c r="M96" s="48" t="str">
        <f>IF(AND('Mapa final'!$AB$124="Alta",'Mapa final'!$AD$124="Menor"),CONCATENATE("R41C",'Mapa final'!$R$124),"")</f>
        <v/>
      </c>
      <c r="N96" s="49" t="str">
        <f>IF(AND('Mapa final'!$AB$125="Alta",'Mapa final'!$AD$125="Menor"),CONCATENATE("R41C",'Mapa final'!$R$125),"")</f>
        <v/>
      </c>
      <c r="O96" s="108" t="str">
        <f>IF(AND('Mapa final'!$AB$126="Alta",'Mapa final'!$AD$126="Menor"),CONCATENATE("R41C",'Mapa final'!$R$126),"")</f>
        <v/>
      </c>
      <c r="P96" s="102" t="str">
        <f>IF(AND('Mapa final'!$AB$124="Alta",'Mapa final'!$AD$124="Moderado"),CONCATENATE("R41C",'Mapa final'!$R$124),"")</f>
        <v/>
      </c>
      <c r="Q96" s="41" t="str">
        <f>IF(AND('Mapa final'!$AB$125="Alta",'Mapa final'!$AD$125="Moderado"),CONCATENATE("R41C",'Mapa final'!$R$125),"")</f>
        <v/>
      </c>
      <c r="R96" s="103" t="str">
        <f>IF(AND('Mapa final'!$AB$126="Alta",'Mapa final'!$AD$126="Moderado"),CONCATENATE("R41C",'Mapa final'!$R$126),"")</f>
        <v/>
      </c>
      <c r="S96" s="102" t="str">
        <f>IF(AND('Mapa final'!$AB$124="Alta",'Mapa final'!$AD$124="Mayor"),CONCATENATE("R41C",'Mapa final'!$R$124),"")</f>
        <v/>
      </c>
      <c r="T96" s="41" t="str">
        <f>IF(AND('Mapa final'!$AB$125="Alta",'Mapa final'!$AD$125="Mayor"),CONCATENATE("R41C",'Mapa final'!$R$125),"")</f>
        <v/>
      </c>
      <c r="U96" s="103" t="str">
        <f>IF(AND('Mapa final'!$AB$126="Alta",'Mapa final'!$AD$126="Mayor"),CONCATENATE("R41C",'Mapa final'!$R$126),"")</f>
        <v/>
      </c>
      <c r="V96" s="42" t="str">
        <f>IF(AND('Mapa final'!$AB$124="Alta",'Mapa final'!$AD$124="Catastrófico"),CONCATENATE("R41C",'Mapa final'!$R$124),"")</f>
        <v/>
      </c>
      <c r="W96" s="43" t="str">
        <f>IF(AND('Mapa final'!$AB$125="Alta",'Mapa final'!$AD$125="Catastrófico"),CONCATENATE("R41C",'Mapa final'!$R$125),"")</f>
        <v/>
      </c>
      <c r="X96" s="97" t="str">
        <f>IF(AND('Mapa final'!$AB$126="Alta",'Mapa final'!$AD$126="Catastrófico"),CONCATENATE("R41C",'Mapa final'!$R$126),"")</f>
        <v/>
      </c>
      <c r="Y96" s="55"/>
      <c r="Z96" s="299"/>
      <c r="AA96" s="300"/>
      <c r="AB96" s="300"/>
      <c r="AC96" s="300"/>
      <c r="AD96" s="300"/>
      <c r="AE96" s="301"/>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row>
    <row r="97" spans="1:61" ht="15" customHeight="1" x14ac:dyDescent="0.25">
      <c r="A97" s="55"/>
      <c r="B97" s="316"/>
      <c r="C97" s="316"/>
      <c r="D97" s="317"/>
      <c r="E97" s="306"/>
      <c r="F97" s="305"/>
      <c r="G97" s="305"/>
      <c r="H97" s="305"/>
      <c r="I97" s="305"/>
      <c r="J97" s="48" t="str">
        <f>IF(AND('Mapa final'!$AB$127="Alta",'Mapa final'!$AD$127="Leve"),CONCATENATE("R42C",'Mapa final'!$R$127),"")</f>
        <v/>
      </c>
      <c r="K97" s="49" t="str">
        <f>IF(AND('Mapa final'!$AB$128="Alta",'Mapa final'!$AD$128="Leve"),CONCATENATE("R42C",'Mapa final'!$R$128),"")</f>
        <v/>
      </c>
      <c r="L97" s="108" t="str">
        <f>IF(AND('Mapa final'!$AB$129="Alta",'Mapa final'!$AD$129="Leve"),CONCATENATE("R42C",'Mapa final'!$R$129),"")</f>
        <v/>
      </c>
      <c r="M97" s="48" t="str">
        <f>IF(AND('Mapa final'!$AB$127="Alta",'Mapa final'!$AD$127="Menor"),CONCATENATE("R42C",'Mapa final'!$R$127),"")</f>
        <v/>
      </c>
      <c r="N97" s="49" t="str">
        <f>IF(AND('Mapa final'!$AB$128="Alta",'Mapa final'!$AD$128="Menor"),CONCATENATE("R42C",'Mapa final'!$R$128),"")</f>
        <v/>
      </c>
      <c r="O97" s="108" t="str">
        <f>IF(AND('Mapa final'!$AB$129="Alta",'Mapa final'!$AD$129="Menor"),CONCATENATE("R42C",'Mapa final'!$R$129),"")</f>
        <v/>
      </c>
      <c r="P97" s="102" t="str">
        <f>IF(AND('Mapa final'!$AB$127="Alta",'Mapa final'!$AD$127="Moderado"),CONCATENATE("R42C",'Mapa final'!$R$127),"")</f>
        <v/>
      </c>
      <c r="Q97" s="41" t="str">
        <f>IF(AND('Mapa final'!$AB$128="Alta",'Mapa final'!$AD$128="Moderado"),CONCATENATE("R42C",'Mapa final'!$R$128),"")</f>
        <v/>
      </c>
      <c r="R97" s="103" t="str">
        <f>IF(AND('Mapa final'!$AB$129="Alta",'Mapa final'!$AD$129="Moderado"),CONCATENATE("R42C",'Mapa final'!$R$129),"")</f>
        <v/>
      </c>
      <c r="S97" s="102" t="str">
        <f>IF(AND('Mapa final'!$AB$127="Alta",'Mapa final'!$AD$127="Mayor"),CONCATENATE("R42C",'Mapa final'!$R$127),"")</f>
        <v/>
      </c>
      <c r="T97" s="41" t="str">
        <f>IF(AND('Mapa final'!$AB$128="Alta",'Mapa final'!$AD$128="Mayor"),CONCATENATE("R42C",'Mapa final'!$R$128),"")</f>
        <v/>
      </c>
      <c r="U97" s="103" t="str">
        <f>IF(AND('Mapa final'!$AB$129="Alta",'Mapa final'!$AD$129="Mayor"),CONCATENATE("R42C",'Mapa final'!$R$129),"")</f>
        <v/>
      </c>
      <c r="V97" s="42" t="str">
        <f>IF(AND('Mapa final'!$AB$127="Alta",'Mapa final'!$AD$127="Catastrófico"),CONCATENATE("R42C",'Mapa final'!$R$127),"")</f>
        <v/>
      </c>
      <c r="W97" s="43" t="str">
        <f>IF(AND('Mapa final'!$AB$128="Alta",'Mapa final'!$AD$128="Catastrófico"),CONCATENATE("R42C",'Mapa final'!$R$128),"")</f>
        <v/>
      </c>
      <c r="X97" s="97" t="str">
        <f>IF(AND('Mapa final'!$AB$129="Alta",'Mapa final'!$AD$129="Catastrófico"),CONCATENATE("R42C",'Mapa final'!$R$129),"")</f>
        <v/>
      </c>
      <c r="Y97" s="55"/>
      <c r="Z97" s="299"/>
      <c r="AA97" s="300"/>
      <c r="AB97" s="300"/>
      <c r="AC97" s="300"/>
      <c r="AD97" s="300"/>
      <c r="AE97" s="301"/>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row>
    <row r="98" spans="1:61" ht="15" customHeight="1" x14ac:dyDescent="0.25">
      <c r="A98" s="55"/>
      <c r="B98" s="316"/>
      <c r="C98" s="316"/>
      <c r="D98" s="317"/>
      <c r="E98" s="306"/>
      <c r="F98" s="305"/>
      <c r="G98" s="305"/>
      <c r="H98" s="305"/>
      <c r="I98" s="305"/>
      <c r="J98" s="48" t="str">
        <f>IF(AND('Mapa final'!$AB$130="Alta",'Mapa final'!$AD$130="Leve"),CONCATENATE("R43C",'Mapa final'!$R$130),"")</f>
        <v/>
      </c>
      <c r="K98" s="49" t="str">
        <f>IF(AND('Mapa final'!$AB$131="Alta",'Mapa final'!$AD$131="Leve"),CONCATENATE("R43C",'Mapa final'!$R$131),"")</f>
        <v/>
      </c>
      <c r="L98" s="108" t="str">
        <f>IF(AND('Mapa final'!$AB$132="Alta",'Mapa final'!$AD$132="Leve"),CONCATENATE("R43C",'Mapa final'!$R$132),"")</f>
        <v/>
      </c>
      <c r="M98" s="48" t="str">
        <f>IF(AND('Mapa final'!$AB$130="Alta",'Mapa final'!$AD$130="Menor"),CONCATENATE("R43C",'Mapa final'!$R$130),"")</f>
        <v/>
      </c>
      <c r="N98" s="49" t="str">
        <f>IF(AND('Mapa final'!$AB$131="Alta",'Mapa final'!$AD$131="Menor"),CONCATENATE("R43C",'Mapa final'!$R$131),"")</f>
        <v/>
      </c>
      <c r="O98" s="108" t="str">
        <f>IF(AND('Mapa final'!$AB$132="Alta",'Mapa final'!$AD$132="Menor"),CONCATENATE("R43C",'Mapa final'!$R$132),"")</f>
        <v/>
      </c>
      <c r="P98" s="102" t="str">
        <f>IF(AND('Mapa final'!$AB$130="Alta",'Mapa final'!$AD$130="Moderado"),CONCATENATE("R43C",'Mapa final'!$R$130),"")</f>
        <v/>
      </c>
      <c r="Q98" s="41" t="str">
        <f>IF(AND('Mapa final'!$AB$131="Alta",'Mapa final'!$AD$131="Moderado"),CONCATENATE("R43C",'Mapa final'!$R$131),"")</f>
        <v/>
      </c>
      <c r="R98" s="103" t="str">
        <f>IF(AND('Mapa final'!$AB$132="Alta",'Mapa final'!$AD$132="Moderado"),CONCATENATE("R43C",'Mapa final'!$R$132),"")</f>
        <v/>
      </c>
      <c r="S98" s="102" t="str">
        <f>IF(AND('Mapa final'!$AB$130="Alta",'Mapa final'!$AD$130="Mayor"),CONCATENATE("R43C",'Mapa final'!$R$130),"")</f>
        <v/>
      </c>
      <c r="T98" s="41" t="str">
        <f>IF(AND('Mapa final'!$AB$131="Alta",'Mapa final'!$AD$131="Mayor"),CONCATENATE("R43C",'Mapa final'!$R$131),"")</f>
        <v/>
      </c>
      <c r="U98" s="103" t="str">
        <f>IF(AND('Mapa final'!$AB$132="Alta",'Mapa final'!$AD$132="Mayor"),CONCATENATE("R43C",'Mapa final'!$R$132),"")</f>
        <v/>
      </c>
      <c r="V98" s="42" t="str">
        <f>IF(AND('Mapa final'!$AB$130="Alta",'Mapa final'!$AD$130="Catastrófico"),CONCATENATE("R43C",'Mapa final'!$R$130),"")</f>
        <v/>
      </c>
      <c r="W98" s="43" t="str">
        <f>IF(AND('Mapa final'!$AB$131="Alta",'Mapa final'!$AD$131="Catastrófico"),CONCATENATE("R43C",'Mapa final'!$R$131),"")</f>
        <v/>
      </c>
      <c r="X98" s="97" t="str">
        <f>IF(AND('Mapa final'!$AB$132="Alta",'Mapa final'!$AD$132="Catastrófico"),CONCATENATE("R43C",'Mapa final'!$R$132),"")</f>
        <v/>
      </c>
      <c r="Y98" s="55"/>
      <c r="Z98" s="299"/>
      <c r="AA98" s="300"/>
      <c r="AB98" s="300"/>
      <c r="AC98" s="300"/>
      <c r="AD98" s="300"/>
      <c r="AE98" s="301"/>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row>
    <row r="99" spans="1:61" ht="15" customHeight="1" x14ac:dyDescent="0.25">
      <c r="A99" s="55"/>
      <c r="B99" s="316"/>
      <c r="C99" s="316"/>
      <c r="D99" s="317"/>
      <c r="E99" s="306"/>
      <c r="F99" s="305"/>
      <c r="G99" s="305"/>
      <c r="H99" s="305"/>
      <c r="I99" s="305"/>
      <c r="J99" s="48" t="str">
        <f>IF(AND('Mapa final'!$AB$133="Alta",'Mapa final'!$AD$133="Leve"),CONCATENATE("R44C",'Mapa final'!$R$133),"")</f>
        <v/>
      </c>
      <c r="K99" s="49" t="str">
        <f>IF(AND('Mapa final'!$AB$134="Alta",'Mapa final'!$AD$134="Leve"),CONCATENATE("R44C",'Mapa final'!$R$134),"")</f>
        <v/>
      </c>
      <c r="L99" s="108" t="str">
        <f>IF(AND('Mapa final'!$AB$135="Alta",'Mapa final'!$AD$135="Leve"),CONCATENATE("R44C",'Mapa final'!$R$135),"")</f>
        <v/>
      </c>
      <c r="M99" s="48" t="str">
        <f>IF(AND('Mapa final'!$AB$133="Alta",'Mapa final'!$AD$133="Menor"),CONCATENATE("R44C",'Mapa final'!$R$133),"")</f>
        <v/>
      </c>
      <c r="N99" s="49" t="str">
        <f>IF(AND('Mapa final'!$AB$134="Alta",'Mapa final'!$AD$134="Menor"),CONCATENATE("R44C",'Mapa final'!$R$134),"")</f>
        <v/>
      </c>
      <c r="O99" s="108" t="str">
        <f>IF(AND('Mapa final'!$AB$135="Alta",'Mapa final'!$AD$135="Menor"),CONCATENATE("R44C",'Mapa final'!$R$135),"")</f>
        <v/>
      </c>
      <c r="P99" s="102" t="str">
        <f>IF(AND('Mapa final'!$AB$133="Alta",'Mapa final'!$AD$133="Moderado"),CONCATENATE("R44C",'Mapa final'!$R$133),"")</f>
        <v/>
      </c>
      <c r="Q99" s="41" t="str">
        <f>IF(AND('Mapa final'!$AB$134="Alta",'Mapa final'!$AD$134="Moderado"),CONCATENATE("R44C",'Mapa final'!$R$134),"")</f>
        <v/>
      </c>
      <c r="R99" s="103" t="str">
        <f>IF(AND('Mapa final'!$AB$135="Alta",'Mapa final'!$AD$135="Moderado"),CONCATENATE("R44C",'Mapa final'!$R$135),"")</f>
        <v/>
      </c>
      <c r="S99" s="102" t="str">
        <f>IF(AND('Mapa final'!$AB$133="Alta",'Mapa final'!$AD$133="Mayor"),CONCATENATE("R44C",'Mapa final'!$R$133),"")</f>
        <v/>
      </c>
      <c r="T99" s="41" t="str">
        <f>IF(AND('Mapa final'!$AB$134="Alta",'Mapa final'!$AD$134="Mayor"),CONCATENATE("R44C",'Mapa final'!$R$134),"")</f>
        <v/>
      </c>
      <c r="U99" s="103" t="str">
        <f>IF(AND('Mapa final'!$AB$135="Alta",'Mapa final'!$AD$135="Mayor"),CONCATENATE("R44C",'Mapa final'!$R$135),"")</f>
        <v/>
      </c>
      <c r="V99" s="42" t="str">
        <f>IF(AND('Mapa final'!$AB$133="Alta",'Mapa final'!$AD$133="Catastrófico"),CONCATENATE("R44C",'Mapa final'!$R$133),"")</f>
        <v/>
      </c>
      <c r="W99" s="43" t="str">
        <f>IF(AND('Mapa final'!$AB$134="Alta",'Mapa final'!$AD$134="Catastrófico"),CONCATENATE("R44C",'Mapa final'!$R$134),"")</f>
        <v/>
      </c>
      <c r="X99" s="97" t="str">
        <f>IF(AND('Mapa final'!$AB$135="Alta",'Mapa final'!$AD$135="Catastrófico"),CONCATENATE("R44C",'Mapa final'!$R$135),"")</f>
        <v/>
      </c>
      <c r="Y99" s="55"/>
      <c r="Z99" s="299"/>
      <c r="AA99" s="300"/>
      <c r="AB99" s="300"/>
      <c r="AC99" s="300"/>
      <c r="AD99" s="300"/>
      <c r="AE99" s="301"/>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row>
    <row r="100" spans="1:61" ht="15" customHeight="1" x14ac:dyDescent="0.25">
      <c r="A100" s="55"/>
      <c r="B100" s="316"/>
      <c r="C100" s="316"/>
      <c r="D100" s="317"/>
      <c r="E100" s="306"/>
      <c r="F100" s="305"/>
      <c r="G100" s="305"/>
      <c r="H100" s="305"/>
      <c r="I100" s="305"/>
      <c r="J100" s="48" t="str">
        <f>IF(AND('Mapa final'!$AB$136="Alta",'Mapa final'!$AD$136="Leve"),CONCATENATE("R45C",'Mapa final'!$R$136),"")</f>
        <v/>
      </c>
      <c r="K100" s="49" t="str">
        <f>IF(AND('Mapa final'!$AB$137="Alta",'Mapa final'!$AD$137="Leve"),CONCATENATE("R45C",'Mapa final'!$R$137),"")</f>
        <v/>
      </c>
      <c r="L100" s="108" t="str">
        <f>IF(AND('Mapa final'!$AB$138="Alta",'Mapa final'!$AD$138="Leve"),CONCATENATE("R45C",'Mapa final'!$R$138),"")</f>
        <v/>
      </c>
      <c r="M100" s="48" t="str">
        <f>IF(AND('Mapa final'!$AB$136="Alta",'Mapa final'!$AD$136="Menor"),CONCATENATE("R45C",'Mapa final'!$R$136),"")</f>
        <v/>
      </c>
      <c r="N100" s="49" t="str">
        <f>IF(AND('Mapa final'!$AB$137="Alta",'Mapa final'!$AD$137="Menor"),CONCATENATE("R45C",'Mapa final'!$R$137),"")</f>
        <v/>
      </c>
      <c r="O100" s="108" t="str">
        <f>IF(AND('Mapa final'!$AB$138="Alta",'Mapa final'!$AD$138="Menor"),CONCATENATE("R45C",'Mapa final'!$R$138),"")</f>
        <v/>
      </c>
      <c r="P100" s="102" t="str">
        <f>IF(AND('Mapa final'!$AB$136="Alta",'Mapa final'!$AD$136="Moderado"),CONCATENATE("R45C",'Mapa final'!$R$136),"")</f>
        <v/>
      </c>
      <c r="Q100" s="41" t="str">
        <f>IF(AND('Mapa final'!$AB$137="Alta",'Mapa final'!$AD$137="Moderado"),CONCATENATE("R45C",'Mapa final'!$R$137),"")</f>
        <v/>
      </c>
      <c r="R100" s="103" t="str">
        <f>IF(AND('Mapa final'!$AB$138="Alta",'Mapa final'!$AD$138="Moderado"),CONCATENATE("R45C",'Mapa final'!$R$138),"")</f>
        <v/>
      </c>
      <c r="S100" s="102" t="str">
        <f>IF(AND('Mapa final'!$AB$136="Alta",'Mapa final'!$AD$136="Mayor"),CONCATENATE("R45C",'Mapa final'!$R$136),"")</f>
        <v/>
      </c>
      <c r="T100" s="41" t="str">
        <f>IF(AND('Mapa final'!$AB$137="Alta",'Mapa final'!$AD$137="Mayor"),CONCATENATE("R45C",'Mapa final'!$R$137),"")</f>
        <v/>
      </c>
      <c r="U100" s="103" t="str">
        <f>IF(AND('Mapa final'!$AB$138="Alta",'Mapa final'!$AD$138="Mayor"),CONCATENATE("R45C",'Mapa final'!$R$138),"")</f>
        <v/>
      </c>
      <c r="V100" s="42" t="str">
        <f>IF(AND('Mapa final'!$AB$136="Alta",'Mapa final'!$AD$136="Catastrófico"),CONCATENATE("R45C",'Mapa final'!$R$136),"")</f>
        <v/>
      </c>
      <c r="W100" s="43" t="str">
        <f>IF(AND('Mapa final'!$AB$137="Alta",'Mapa final'!$AD$137="Catastrófico"),CONCATENATE("R45C",'Mapa final'!$R$137),"")</f>
        <v/>
      </c>
      <c r="X100" s="97" t="str">
        <f>IF(AND('Mapa final'!$AB$138="Alta",'Mapa final'!$AD$138="Catastrófico"),CONCATENATE("R45C",'Mapa final'!$R$138),"")</f>
        <v/>
      </c>
      <c r="Y100" s="55"/>
      <c r="Z100" s="299"/>
      <c r="AA100" s="300"/>
      <c r="AB100" s="300"/>
      <c r="AC100" s="300"/>
      <c r="AD100" s="300"/>
      <c r="AE100" s="301"/>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row>
    <row r="101" spans="1:61" ht="15" customHeight="1" x14ac:dyDescent="0.25">
      <c r="A101" s="55"/>
      <c r="B101" s="316"/>
      <c r="C101" s="316"/>
      <c r="D101" s="317"/>
      <c r="E101" s="306"/>
      <c r="F101" s="305"/>
      <c r="G101" s="305"/>
      <c r="H101" s="305"/>
      <c r="I101" s="305"/>
      <c r="J101" s="48" t="str">
        <f>IF(AND('Mapa final'!$AB$139="Alta",'Mapa final'!$AD$139="Leve"),CONCATENATE("R46C",'Mapa final'!$R$139),"")</f>
        <v/>
      </c>
      <c r="K101" s="49" t="str">
        <f>IF(AND('Mapa final'!$AB$140="Alta",'Mapa final'!$AD$140="Leve"),CONCATENATE("R46C",'Mapa final'!$R$140),"")</f>
        <v/>
      </c>
      <c r="L101" s="108" t="str">
        <f>IF(AND('Mapa final'!$AB$141="Alta",'Mapa final'!$AD$141="Leve"),CONCATENATE("R46C",'Mapa final'!$R$141),"")</f>
        <v/>
      </c>
      <c r="M101" s="48" t="str">
        <f>IF(AND('Mapa final'!$AB$139="Alta",'Mapa final'!$AD$139="Menor"),CONCATENATE("R46C",'Mapa final'!$R$139),"")</f>
        <v/>
      </c>
      <c r="N101" s="49" t="str">
        <f>IF(AND('Mapa final'!$AB$140="Alta",'Mapa final'!$AD$140="Menor"),CONCATENATE("R46C",'Mapa final'!$R$140),"")</f>
        <v/>
      </c>
      <c r="O101" s="108" t="str">
        <f>IF(AND('Mapa final'!$AB$141="Alta",'Mapa final'!$AD$141="Menor"),CONCATENATE("R46C",'Mapa final'!$R$141),"")</f>
        <v/>
      </c>
      <c r="P101" s="102" t="str">
        <f>IF(AND('Mapa final'!$AB$139="Alta",'Mapa final'!$AD$139="Moderado"),CONCATENATE("R46C",'Mapa final'!$R$139),"")</f>
        <v/>
      </c>
      <c r="Q101" s="41" t="str">
        <f>IF(AND('Mapa final'!$AB$140="Alta",'Mapa final'!$AD$140="Moderado"),CONCATENATE("R46C",'Mapa final'!$R$140),"")</f>
        <v/>
      </c>
      <c r="R101" s="103" t="str">
        <f>IF(AND('Mapa final'!$AB$141="Alta",'Mapa final'!$AD$141="Moderado"),CONCATENATE("R46C",'Mapa final'!$R$141),"")</f>
        <v/>
      </c>
      <c r="S101" s="102" t="str">
        <f>IF(AND('Mapa final'!$AB$139="Alta",'Mapa final'!$AD$139="Mayor"),CONCATENATE("R46C",'Mapa final'!$R$139),"")</f>
        <v/>
      </c>
      <c r="T101" s="41" t="str">
        <f>IF(AND('Mapa final'!$AB$140="Alta",'Mapa final'!$AD$140="Mayor"),CONCATENATE("R46C",'Mapa final'!$R$140),"")</f>
        <v/>
      </c>
      <c r="U101" s="103" t="str">
        <f>IF(AND('Mapa final'!$AB$141="Alta",'Mapa final'!$AD$141="Mayor"),CONCATENATE("R46C",'Mapa final'!$R$141),"")</f>
        <v/>
      </c>
      <c r="V101" s="42" t="str">
        <f>IF(AND('Mapa final'!$AB$139="Alta",'Mapa final'!$AD$139="Catastrófico"),CONCATENATE("R46C",'Mapa final'!$R$139),"")</f>
        <v/>
      </c>
      <c r="W101" s="43" t="str">
        <f>IF(AND('Mapa final'!$AB$140="Alta",'Mapa final'!$AD$140="Catastrófico"),CONCATENATE("R46C",'Mapa final'!$R$140),"")</f>
        <v/>
      </c>
      <c r="X101" s="97" t="str">
        <f>IF(AND('Mapa final'!$AB$141="Alta",'Mapa final'!$AD$141="Catastrófico"),CONCATENATE("R46C",'Mapa final'!$R$141),"")</f>
        <v/>
      </c>
      <c r="Y101" s="55"/>
      <c r="Z101" s="299"/>
      <c r="AA101" s="300"/>
      <c r="AB101" s="300"/>
      <c r="AC101" s="300"/>
      <c r="AD101" s="300"/>
      <c r="AE101" s="301"/>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row>
    <row r="102" spans="1:61" ht="15" customHeight="1" x14ac:dyDescent="0.25">
      <c r="A102" s="55"/>
      <c r="B102" s="316"/>
      <c r="C102" s="316"/>
      <c r="D102" s="317"/>
      <c r="E102" s="306"/>
      <c r="F102" s="305"/>
      <c r="G102" s="305"/>
      <c r="H102" s="305"/>
      <c r="I102" s="305"/>
      <c r="J102" s="48" t="str">
        <f>IF(AND('Mapa final'!$AB$142="Alta",'Mapa final'!$AD$142="Leve"),CONCATENATE("R47C",'Mapa final'!$R$142),"")</f>
        <v/>
      </c>
      <c r="K102" s="49" t="str">
        <f>IF(AND('Mapa final'!$AB$143="Alta",'Mapa final'!$AD$143="Leve"),CONCATENATE("R47C",'Mapa final'!$R$143),"")</f>
        <v/>
      </c>
      <c r="L102" s="108" t="str">
        <f>IF(AND('Mapa final'!$AB$144="Alta",'Mapa final'!$AD$144="Leve"),CONCATENATE("R47C",'Mapa final'!$R$144),"")</f>
        <v/>
      </c>
      <c r="M102" s="48" t="str">
        <f>IF(AND('Mapa final'!$AB$142="Alta",'Mapa final'!$AD$142="Menor"),CONCATENATE("R47C",'Mapa final'!$R$142),"")</f>
        <v/>
      </c>
      <c r="N102" s="49" t="str">
        <f>IF(AND('Mapa final'!$AB$143="Alta",'Mapa final'!$AD$143="Menor"),CONCATENATE("R47C",'Mapa final'!$R$143),"")</f>
        <v/>
      </c>
      <c r="O102" s="108" t="str">
        <f>IF(AND('Mapa final'!$AB$144="Alta",'Mapa final'!$AD$144="Menor"),CONCATENATE("R47C",'Mapa final'!$R$144),"")</f>
        <v/>
      </c>
      <c r="P102" s="102" t="str">
        <f>IF(AND('Mapa final'!$AB$142="Alta",'Mapa final'!$AD$142="Moderado"),CONCATENATE("R47C",'Mapa final'!$R$142),"")</f>
        <v/>
      </c>
      <c r="Q102" s="41" t="str">
        <f>IF(AND('Mapa final'!$AB$143="Alta",'Mapa final'!$AD$143="Moderado"),CONCATENATE("R47C",'Mapa final'!$R$143),"")</f>
        <v/>
      </c>
      <c r="R102" s="103" t="str">
        <f>IF(AND('Mapa final'!$AB$144="Alta",'Mapa final'!$AD$144="Moderado"),CONCATENATE("R47C",'Mapa final'!$R$144),"")</f>
        <v/>
      </c>
      <c r="S102" s="102" t="str">
        <f>IF(AND('Mapa final'!$AB$142="Alta",'Mapa final'!$AD$142="Mayor"),CONCATENATE("R47C",'Mapa final'!$R$142),"")</f>
        <v/>
      </c>
      <c r="T102" s="41" t="str">
        <f>IF(AND('Mapa final'!$AB$143="Alta",'Mapa final'!$AD$143="Mayor"),CONCATENATE("R47C",'Mapa final'!$R$143),"")</f>
        <v/>
      </c>
      <c r="U102" s="103" t="str">
        <f>IF(AND('Mapa final'!$AB$144="Alta",'Mapa final'!$AD$144="Mayor"),CONCATENATE("R47C",'Mapa final'!$R$144),"")</f>
        <v/>
      </c>
      <c r="V102" s="42" t="str">
        <f>IF(AND('Mapa final'!$AB$142="Alta",'Mapa final'!$AD$142="Catastrófico"),CONCATENATE("R47C",'Mapa final'!$R$142),"")</f>
        <v/>
      </c>
      <c r="W102" s="43" t="str">
        <f>IF(AND('Mapa final'!$AB$143="Alta",'Mapa final'!$AD$143="Catastrófico"),CONCATENATE("R47C",'Mapa final'!$R$143),"")</f>
        <v/>
      </c>
      <c r="X102" s="97" t="str">
        <f>IF(AND('Mapa final'!$AB$144="Alta",'Mapa final'!$AD$144="Catastrófico"),CONCATENATE("R47C",'Mapa final'!$R$144),"")</f>
        <v/>
      </c>
      <c r="Y102" s="55"/>
      <c r="Z102" s="299"/>
      <c r="AA102" s="300"/>
      <c r="AB102" s="300"/>
      <c r="AC102" s="300"/>
      <c r="AD102" s="300"/>
      <c r="AE102" s="301"/>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row>
    <row r="103" spans="1:61" ht="15" customHeight="1" x14ac:dyDescent="0.25">
      <c r="A103" s="55"/>
      <c r="B103" s="316"/>
      <c r="C103" s="316"/>
      <c r="D103" s="317"/>
      <c r="E103" s="306"/>
      <c r="F103" s="305"/>
      <c r="G103" s="305"/>
      <c r="H103" s="305"/>
      <c r="I103" s="305"/>
      <c r="J103" s="48" t="str">
        <f>IF(AND('Mapa final'!$AB$145="Alta",'Mapa final'!$AD$145="Leve"),CONCATENATE("R48C",'Mapa final'!$R$145),"")</f>
        <v/>
      </c>
      <c r="K103" s="49" t="str">
        <f>IF(AND('Mapa final'!$AB$146="Alta",'Mapa final'!$AD$146="Leve"),CONCATENATE("R48C",'Mapa final'!$R$146),"")</f>
        <v/>
      </c>
      <c r="L103" s="108" t="str">
        <f>IF(AND('Mapa final'!$AB$147="Alta",'Mapa final'!$AD$147="Leve"),CONCATENATE("R48C",'Mapa final'!$R$147),"")</f>
        <v/>
      </c>
      <c r="M103" s="48" t="str">
        <f>IF(AND('Mapa final'!$AB$145="Alta",'Mapa final'!$AD$145="Menor"),CONCATENATE("R48C",'Mapa final'!$R$145),"")</f>
        <v/>
      </c>
      <c r="N103" s="49" t="str">
        <f>IF(AND('Mapa final'!$AB$146="Alta",'Mapa final'!$AD$146="Menor"),CONCATENATE("R48C",'Mapa final'!$R$146),"")</f>
        <v/>
      </c>
      <c r="O103" s="108" t="str">
        <f>IF(AND('Mapa final'!$AB$147="Alta",'Mapa final'!$AD$147="Menor"),CONCATENATE("R48C",'Mapa final'!$R$147),"")</f>
        <v/>
      </c>
      <c r="P103" s="102" t="str">
        <f>IF(AND('Mapa final'!$AB$145="Alta",'Mapa final'!$AD$145="Moderado"),CONCATENATE("R48C",'Mapa final'!$R$145),"")</f>
        <v/>
      </c>
      <c r="Q103" s="41" t="str">
        <f>IF(AND('Mapa final'!$AB$146="Alta",'Mapa final'!$AD$146="Moderado"),CONCATENATE("R48C",'Mapa final'!$R$146),"")</f>
        <v/>
      </c>
      <c r="R103" s="103" t="str">
        <f>IF(AND('Mapa final'!$AB$147="Alta",'Mapa final'!$AD$147="Moderado"),CONCATENATE("R48C",'Mapa final'!$R$147),"")</f>
        <v/>
      </c>
      <c r="S103" s="102" t="str">
        <f>IF(AND('Mapa final'!$AB$145="Alta",'Mapa final'!$AD$145="Mayor"),CONCATENATE("R48C",'Mapa final'!$R$145),"")</f>
        <v/>
      </c>
      <c r="T103" s="41" t="str">
        <f>IF(AND('Mapa final'!$AB$146="Alta",'Mapa final'!$AD$146="Mayor"),CONCATENATE("R48C",'Mapa final'!$R$146),"")</f>
        <v/>
      </c>
      <c r="U103" s="103" t="str">
        <f>IF(AND('Mapa final'!$AB$147="Alta",'Mapa final'!$AD$147="Mayor"),CONCATENATE("R48C",'Mapa final'!$R$147),"")</f>
        <v/>
      </c>
      <c r="V103" s="42" t="str">
        <f>IF(AND('Mapa final'!$AB$145="Alta",'Mapa final'!$AD$145="Catastrófico"),CONCATENATE("R48C",'Mapa final'!$R$145),"")</f>
        <v/>
      </c>
      <c r="W103" s="43" t="str">
        <f>IF(AND('Mapa final'!$AB$146="Alta",'Mapa final'!$AD$146="Catastrófico"),CONCATENATE("R48C",'Mapa final'!$R$146),"")</f>
        <v/>
      </c>
      <c r="X103" s="97" t="str">
        <f>IF(AND('Mapa final'!$AB$147="Alta",'Mapa final'!$AD$147="Catastrófico"),CONCATENATE("R48C",'Mapa final'!$R$147),"")</f>
        <v/>
      </c>
      <c r="Y103" s="55"/>
      <c r="Z103" s="299"/>
      <c r="AA103" s="300"/>
      <c r="AB103" s="300"/>
      <c r="AC103" s="300"/>
      <c r="AD103" s="300"/>
      <c r="AE103" s="301"/>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row>
    <row r="104" spans="1:61" ht="15" customHeight="1" x14ac:dyDescent="0.25">
      <c r="A104" s="55"/>
      <c r="B104" s="316"/>
      <c r="C104" s="316"/>
      <c r="D104" s="317"/>
      <c r="E104" s="306"/>
      <c r="F104" s="305"/>
      <c r="G104" s="305"/>
      <c r="H104" s="305"/>
      <c r="I104" s="305"/>
      <c r="J104" s="48" t="str">
        <f>IF(AND('Mapa final'!$AB$148="Alta",'Mapa final'!$AD$148="Leve"),CONCATENATE("R49C",'Mapa final'!$R$148),"")</f>
        <v/>
      </c>
      <c r="K104" s="49" t="str">
        <f>IF(AND('Mapa final'!$AB$149="Alta",'Mapa final'!$AD$149="Leve"),CONCATENATE("R49C",'Mapa final'!$R$149),"")</f>
        <v/>
      </c>
      <c r="L104" s="108" t="str">
        <f>IF(AND('Mapa final'!$AB$150="Alta",'Mapa final'!$AD$150="Leve"),CONCATENATE("R49C",'Mapa final'!$R$150),"")</f>
        <v/>
      </c>
      <c r="M104" s="48" t="str">
        <f>IF(AND('Mapa final'!$AB$148="Alta",'Mapa final'!$AD$148="Menor"),CONCATENATE("R49C",'Mapa final'!$R$148),"")</f>
        <v/>
      </c>
      <c r="N104" s="49" t="str">
        <f>IF(AND('Mapa final'!$AB$149="Alta",'Mapa final'!$AD$149="Menor"),CONCATENATE("R49C",'Mapa final'!$R$149),"")</f>
        <v/>
      </c>
      <c r="O104" s="108" t="str">
        <f>IF(AND('Mapa final'!$AB$150="Alta",'Mapa final'!$AD$150="Menor"),CONCATENATE("R49C",'Mapa final'!$R$150),"")</f>
        <v/>
      </c>
      <c r="P104" s="102" t="str">
        <f>IF(AND('Mapa final'!$AB$148="Alta",'Mapa final'!$AD$148="Moderado"),CONCATENATE("R49C",'Mapa final'!$R$148),"")</f>
        <v/>
      </c>
      <c r="Q104" s="41" t="str">
        <f>IF(AND('Mapa final'!$AB$149="Alta",'Mapa final'!$AD$149="Moderado"),CONCATENATE("R49C",'Mapa final'!$R$149),"")</f>
        <v/>
      </c>
      <c r="R104" s="103" t="str">
        <f>IF(AND('Mapa final'!$AB$150="Alta",'Mapa final'!$AD$150="Moderado"),CONCATENATE("R49C",'Mapa final'!$R$150),"")</f>
        <v/>
      </c>
      <c r="S104" s="102" t="str">
        <f>IF(AND('Mapa final'!$AB$148="Alta",'Mapa final'!$AD$148="Mayor"),CONCATENATE("R49C",'Mapa final'!$R$148),"")</f>
        <v/>
      </c>
      <c r="T104" s="41" t="str">
        <f>IF(AND('Mapa final'!$AB$149="Alta",'Mapa final'!$AD$149="Mayor"),CONCATENATE("R49C",'Mapa final'!$R$149),"")</f>
        <v/>
      </c>
      <c r="U104" s="103" t="str">
        <f>IF(AND('Mapa final'!$AB$150="Alta",'Mapa final'!$AD$150="Mayor"),CONCATENATE("R49C",'Mapa final'!$R$150),"")</f>
        <v/>
      </c>
      <c r="V104" s="42" t="str">
        <f>IF(AND('Mapa final'!$AB$148="Alta",'Mapa final'!$AD$148="Catastrófico"),CONCATENATE("R49C",'Mapa final'!$R$148),"")</f>
        <v/>
      </c>
      <c r="W104" s="43" t="str">
        <f>IF(AND('Mapa final'!$AB$149="Alta",'Mapa final'!$AD$149="Catastrófico"),CONCATENATE("R49C",'Mapa final'!$R$149),"")</f>
        <v/>
      </c>
      <c r="X104" s="97" t="str">
        <f>IF(AND('Mapa final'!$AB$150="Alta",'Mapa final'!$AD$150="Catastrófico"),CONCATENATE("R49C",'Mapa final'!$R$150),"")</f>
        <v/>
      </c>
      <c r="Y104" s="55"/>
      <c r="Z104" s="299"/>
      <c r="AA104" s="300"/>
      <c r="AB104" s="300"/>
      <c r="AC104" s="300"/>
      <c r="AD104" s="300"/>
      <c r="AE104" s="301"/>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row>
    <row r="105" spans="1:61" ht="15" customHeight="1" thickBot="1" x14ac:dyDescent="0.3">
      <c r="A105" s="55"/>
      <c r="B105" s="316"/>
      <c r="C105" s="316"/>
      <c r="D105" s="317"/>
      <c r="E105" s="306"/>
      <c r="F105" s="305"/>
      <c r="G105" s="305"/>
      <c r="H105" s="305"/>
      <c r="I105" s="305"/>
      <c r="J105" s="50" t="str">
        <f>IF(AND('Mapa final'!$AB$151="Alta",'Mapa final'!$AD$151="Leve"),CONCATENATE("R50C",'Mapa final'!$R$151),"")</f>
        <v/>
      </c>
      <c r="K105" s="51" t="str">
        <f>IF(AND('Mapa final'!$AB$152="Alta",'Mapa final'!$AD$152="Leve"),CONCATENATE("R50C",'Mapa final'!$R$152),"")</f>
        <v/>
      </c>
      <c r="L105" s="109" t="str">
        <f>IF(AND('Mapa final'!$AB$153="Alta",'Mapa final'!$AD$153="Leve"),CONCATENATE("R50C",'Mapa final'!$R$153),"")</f>
        <v/>
      </c>
      <c r="M105" s="50" t="str">
        <f>IF(AND('Mapa final'!$AB$151="Alta",'Mapa final'!$AD$151="Menor"),CONCATENATE("R50C",'Mapa final'!$R$151),"")</f>
        <v/>
      </c>
      <c r="N105" s="51" t="str">
        <f>IF(AND('Mapa final'!$AB$152="Alta",'Mapa final'!$AD$152="Menor"),CONCATENATE("R50C",'Mapa final'!$R$152),"")</f>
        <v/>
      </c>
      <c r="O105" s="109" t="str">
        <f>IF(AND('Mapa final'!$AB$153="Alta",'Mapa final'!$AD$153="Menor"),CONCATENATE("R50C",'Mapa final'!$R$153),"")</f>
        <v/>
      </c>
      <c r="P105" s="102" t="str">
        <f>IF(AND('Mapa final'!$AB$151="Alta",'Mapa final'!$AD$151="Moderado"),CONCATENATE("R50C",'Mapa final'!$R$151),"")</f>
        <v/>
      </c>
      <c r="Q105" s="41" t="str">
        <f>IF(AND('Mapa final'!$AB$152="Alta",'Mapa final'!$AD$152="Moderado"),CONCATENATE("R50C",'Mapa final'!$R$152),"")</f>
        <v/>
      </c>
      <c r="R105" s="103" t="str">
        <f>IF(AND('Mapa final'!$AB$153="Alta",'Mapa final'!$AD$153="Moderado"),CONCATENATE("R50C",'Mapa final'!$R$153),"")</f>
        <v/>
      </c>
      <c r="S105" s="104" t="str">
        <f>IF(AND('Mapa final'!$AB$151="Alta",'Mapa final'!$AD$151="Mayor"),CONCATENATE("R50C",'Mapa final'!$R$151),"")</f>
        <v/>
      </c>
      <c r="T105" s="105" t="str">
        <f>IF(AND('Mapa final'!$AB$152="Alta",'Mapa final'!$AD$152="Mayor"),CONCATENATE("R50C",'Mapa final'!$R$152),"")</f>
        <v/>
      </c>
      <c r="U105" s="106" t="str">
        <f>IF(AND('Mapa final'!$AB$153="Alta",'Mapa final'!$AD$153="Mayor"),CONCATENATE("R50C",'Mapa final'!$R$153),"")</f>
        <v/>
      </c>
      <c r="V105" s="44" t="str">
        <f>IF(AND('Mapa final'!$AB$151="Alta",'Mapa final'!$AD$151="Catastrófico"),CONCATENATE("R50C",'Mapa final'!$R$151),"")</f>
        <v/>
      </c>
      <c r="W105" s="45" t="str">
        <f>IF(AND('Mapa final'!$AB$152="Alta",'Mapa final'!$AD$152="Catastrófico"),CONCATENATE("R50C",'Mapa final'!$R$152),"")</f>
        <v/>
      </c>
      <c r="X105" s="98" t="str">
        <f>IF(AND('Mapa final'!$AB$153="Alta",'Mapa final'!$AD$153="Catastrófico"),CONCATENATE("R50C",'Mapa final'!$R$153),"")</f>
        <v/>
      </c>
      <c r="Y105" s="55"/>
      <c r="Z105" s="299"/>
      <c r="AA105" s="300"/>
      <c r="AB105" s="300"/>
      <c r="AC105" s="300"/>
      <c r="AD105" s="300"/>
      <c r="AE105" s="301"/>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row>
    <row r="106" spans="1:61" ht="15" customHeight="1" x14ac:dyDescent="0.25">
      <c r="A106" s="55"/>
      <c r="B106" s="316"/>
      <c r="C106" s="316"/>
      <c r="D106" s="317"/>
      <c r="E106" s="302" t="s">
        <v>108</v>
      </c>
      <c r="F106" s="303"/>
      <c r="G106" s="303"/>
      <c r="H106" s="303"/>
      <c r="I106" s="303"/>
      <c r="J106" s="46" t="str">
        <f>IF(AND('Mapa final'!$AB$7="Media",'Mapa final'!$AD$7="Leve"),CONCATENATE("R1C",'Mapa final'!$R$7),"")</f>
        <v/>
      </c>
      <c r="K106" s="47" t="str">
        <f>IF(AND('Mapa final'!$AB$8="Media",'Mapa final'!$AD$8="Leve"),CONCATENATE("R1C",'Mapa final'!$R$8),"")</f>
        <v/>
      </c>
      <c r="L106" s="107" t="str">
        <f>IF(AND('Mapa final'!$AB$9="Media",'Mapa final'!$AD$9="Leve"),CONCATENATE("R1C",'Mapa final'!$R$9),"")</f>
        <v/>
      </c>
      <c r="M106" s="46" t="str">
        <f>IF(AND('Mapa final'!$AB$7="Media",'Mapa final'!$AD$7="Menor"),CONCATENATE("R1C",'Mapa final'!$R$7),"")</f>
        <v/>
      </c>
      <c r="N106" s="47" t="str">
        <f>IF(AND('Mapa final'!$AB$8="Media",'Mapa final'!$AD$8="Menor"),CONCATENATE("R1C",'Mapa final'!$R$8),"")</f>
        <v/>
      </c>
      <c r="O106" s="107" t="str">
        <f>IF(AND('Mapa final'!$AB$9="Media",'Mapa final'!$AD$9="Menor"),CONCATENATE("R1C",'Mapa final'!$R$9),"")</f>
        <v/>
      </c>
      <c r="P106" s="46" t="str">
        <f>IF(AND('Mapa final'!$AB$7="Media",'Mapa final'!$AD$7="Moderado"),CONCATENATE("R1C",'Mapa final'!$R$7),"")</f>
        <v/>
      </c>
      <c r="Q106" s="47" t="str">
        <f>IF(AND('Mapa final'!$AB$8="Media",'Mapa final'!$AD$8="Moderado"),CONCATENATE("R1C",'Mapa final'!$R$8),"")</f>
        <v/>
      </c>
      <c r="R106" s="107" t="str">
        <f>IF(AND('Mapa final'!$AB$9="Media",'Mapa final'!$AD$9="Moderado"),CONCATENATE("R1C",'Mapa final'!$R$9),"")</f>
        <v/>
      </c>
      <c r="S106" s="99" t="str">
        <f>IF(AND('Mapa final'!$AB$7="Media",'Mapa final'!$AD$7="Mayor"),CONCATENATE("R1C",'Mapa final'!$R$7),"")</f>
        <v/>
      </c>
      <c r="T106" s="100" t="str">
        <f>IF(AND('Mapa final'!$AB$8="Media",'Mapa final'!$AD$8="Mayor"),CONCATENATE("R1C",'Mapa final'!$R$8),"")</f>
        <v/>
      </c>
      <c r="U106" s="101" t="str">
        <f>IF(AND('Mapa final'!$AB$9="Media",'Mapa final'!$AD$9="Mayor"),CONCATENATE("R1C",'Mapa final'!$R$9),"")</f>
        <v/>
      </c>
      <c r="V106" s="39" t="str">
        <f>IF(AND('Mapa final'!$AB$7="Media",'Mapa final'!$AD$7="Catastrófico"),CONCATENATE("R1C",'Mapa final'!$R$7),"")</f>
        <v/>
      </c>
      <c r="W106" s="40" t="str">
        <f>IF(AND('Mapa final'!$AB$8="Media",'Mapa final'!$AD$8="Catastrófico"),CONCATENATE("R1C",'Mapa final'!$R$8),"")</f>
        <v/>
      </c>
      <c r="X106" s="96" t="str">
        <f>IF(AND('Mapa final'!$AB$9="Media",'Mapa final'!$AD$9="Catastrófico"),CONCATENATE("R1C",'Mapa final'!$R$9),"")</f>
        <v/>
      </c>
      <c r="Y106" s="55"/>
      <c r="Z106" s="324" t="s">
        <v>75</v>
      </c>
      <c r="AA106" s="325"/>
      <c r="AB106" s="325"/>
      <c r="AC106" s="325"/>
      <c r="AD106" s="325"/>
      <c r="AE106" s="326"/>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row>
    <row r="107" spans="1:61" ht="15" customHeight="1" x14ac:dyDescent="0.25">
      <c r="A107" s="55"/>
      <c r="B107" s="316"/>
      <c r="C107" s="316"/>
      <c r="D107" s="317"/>
      <c r="E107" s="304"/>
      <c r="F107" s="305"/>
      <c r="G107" s="305"/>
      <c r="H107" s="305"/>
      <c r="I107" s="305"/>
      <c r="J107" s="48" t="str">
        <f>IF(AND('Mapa final'!$AB$10="Media",'Mapa final'!$AD$10="Leve"),CONCATENATE("R2C",'Mapa final'!$R$10),"")</f>
        <v/>
      </c>
      <c r="K107" s="49" t="str">
        <f>IF(AND('Mapa final'!$AB$11="Media",'Mapa final'!$AD$11="Leve"),CONCATENATE("R2C",'Mapa final'!$R$11),"")</f>
        <v/>
      </c>
      <c r="L107" s="108" t="str">
        <f>IF(AND('Mapa final'!$AB$12="Media",'Mapa final'!$AD$12="Leve"),CONCATENATE("R2C",'Mapa final'!$R$12),"")</f>
        <v/>
      </c>
      <c r="M107" s="48" t="str">
        <f>IF(AND('Mapa final'!$AB$10="Media",'Mapa final'!$AD$10="Menor"),CONCATENATE("R2C",'Mapa final'!$R$10),"")</f>
        <v/>
      </c>
      <c r="N107" s="49" t="str">
        <f>IF(AND('Mapa final'!$AB$11="Media",'Mapa final'!$AD$11="Menor"),CONCATENATE("R2C",'Mapa final'!$R$11),"")</f>
        <v/>
      </c>
      <c r="O107" s="108" t="str">
        <f>IF(AND('Mapa final'!$AB$12="Media",'Mapa final'!$AD$12="Menor"),CONCATENATE("R2C",'Mapa final'!$R$12),"")</f>
        <v/>
      </c>
      <c r="P107" s="48" t="str">
        <f>IF(AND('Mapa final'!$AB$10="Media",'Mapa final'!$AD$10="Moderado"),CONCATENATE("R2C",'Mapa final'!$R$10),"")</f>
        <v/>
      </c>
      <c r="Q107" s="49" t="str">
        <f>IF(AND('Mapa final'!$AB$11="Media",'Mapa final'!$AD$11="Moderado"),CONCATENATE("R2C",'Mapa final'!$R$11),"")</f>
        <v/>
      </c>
      <c r="R107" s="108" t="str">
        <f>IF(AND('Mapa final'!$AB$12="Media",'Mapa final'!$AD$12="Moderado"),CONCATENATE("R2C",'Mapa final'!$R$12),"")</f>
        <v/>
      </c>
      <c r="S107" s="102" t="str">
        <f>IF(AND('Mapa final'!$AB$10="Media",'Mapa final'!$AD$10="Mayor"),CONCATENATE("R2C",'Mapa final'!$R$10),"")</f>
        <v/>
      </c>
      <c r="T107" s="41" t="str">
        <f>IF(AND('Mapa final'!$AB$11="Media",'Mapa final'!$AD$11="Mayor"),CONCATENATE("R2C",'Mapa final'!$R$11),"")</f>
        <v/>
      </c>
      <c r="U107" s="103" t="str">
        <f>IF(AND('Mapa final'!$AB$12="Media",'Mapa final'!$AD$12="Mayor"),CONCATENATE("R2C",'Mapa final'!$R$12),"")</f>
        <v/>
      </c>
      <c r="V107" s="42" t="str">
        <f>IF(AND('Mapa final'!$AB$10="Media",'Mapa final'!$AD$10="Catastrófico"),CONCATENATE("R2C",'Mapa final'!$R$10),"")</f>
        <v/>
      </c>
      <c r="W107" s="43" t="str">
        <f>IF(AND('Mapa final'!$AB$11="Media",'Mapa final'!$AD$11="Catastrófico"),CONCATENATE("R2C",'Mapa final'!$R$11),"")</f>
        <v/>
      </c>
      <c r="X107" s="97" t="str">
        <f>IF(AND('Mapa final'!$AB$12="Media",'Mapa final'!$AD$12="Catastrófico"),CONCATENATE("R2C",'Mapa final'!$R$12),"")</f>
        <v/>
      </c>
      <c r="Y107" s="55"/>
      <c r="Z107" s="327"/>
      <c r="AA107" s="328"/>
      <c r="AB107" s="328"/>
      <c r="AC107" s="328"/>
      <c r="AD107" s="328"/>
      <c r="AE107" s="329"/>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row>
    <row r="108" spans="1:61" ht="15" customHeight="1" x14ac:dyDescent="0.25">
      <c r="A108" s="55"/>
      <c r="B108" s="316"/>
      <c r="C108" s="316"/>
      <c r="D108" s="317"/>
      <c r="E108" s="306"/>
      <c r="F108" s="305"/>
      <c r="G108" s="305"/>
      <c r="H108" s="305"/>
      <c r="I108" s="305"/>
      <c r="J108" s="48" t="str">
        <f>IF(AND('Mapa final'!$AB$13="Media",'Mapa final'!$AD$13="Leve"),CONCATENATE("R3C",'Mapa final'!$R$13),"")</f>
        <v/>
      </c>
      <c r="K108" s="49" t="str">
        <f>IF(AND('Mapa final'!$AB$14="Media",'Mapa final'!$AD$14="Leve"),CONCATENATE("R3C",'Mapa final'!$R$14),"")</f>
        <v/>
      </c>
      <c r="L108" s="108" t="str">
        <f>IF(AND('Mapa final'!$AB$15="Media",'Mapa final'!$AD$15="Leve"),CONCATENATE("R3C",'Mapa final'!$R$15),"")</f>
        <v/>
      </c>
      <c r="M108" s="48" t="str">
        <f>IF(AND('Mapa final'!$AB$13="Media",'Mapa final'!$AD$13="Menor"),CONCATENATE("R3C",'Mapa final'!$R$13),"")</f>
        <v/>
      </c>
      <c r="N108" s="49" t="str">
        <f>IF(AND('Mapa final'!$AB$14="Media",'Mapa final'!$AD$14="Menor"),CONCATENATE("R3C",'Mapa final'!$R$14),"")</f>
        <v/>
      </c>
      <c r="O108" s="108" t="str">
        <f>IF(AND('Mapa final'!$AB$15="Media",'Mapa final'!$AD$15="Menor"),CONCATENATE("R3C",'Mapa final'!$R$15),"")</f>
        <v/>
      </c>
      <c r="P108" s="48" t="str">
        <f>IF(AND('Mapa final'!$AB$13="Media",'Mapa final'!$AD$13="Moderado"),CONCATENATE("R3C",'Mapa final'!$R$13),"")</f>
        <v>R3C1</v>
      </c>
      <c r="Q108" s="49" t="str">
        <f>IF(AND('Mapa final'!$AB$14="Media",'Mapa final'!$AD$14="Moderado"),CONCATENATE("R3C",'Mapa final'!$R$14),"")</f>
        <v/>
      </c>
      <c r="R108" s="108" t="str">
        <f>IF(AND('Mapa final'!$AB$15="Media",'Mapa final'!$AD$15="Moderado"),CONCATENATE("R3C",'Mapa final'!$R$15),"")</f>
        <v/>
      </c>
      <c r="S108" s="102" t="str">
        <f>IF(AND('Mapa final'!$AB$13="Media",'Mapa final'!$AD$13="Mayor"),CONCATENATE("R3C",'Mapa final'!$R$13),"")</f>
        <v/>
      </c>
      <c r="T108" s="41" t="str">
        <f>IF(AND('Mapa final'!$AB$14="Media",'Mapa final'!$AD$14="Mayor"),CONCATENATE("R3C",'Mapa final'!$R$14),"")</f>
        <v/>
      </c>
      <c r="U108" s="103" t="str">
        <f>IF(AND('Mapa final'!$AB$15="Media",'Mapa final'!$AD$15="Mayor"),CONCATENATE("R3C",'Mapa final'!$R$15),"")</f>
        <v/>
      </c>
      <c r="V108" s="42" t="str">
        <f>IF(AND('Mapa final'!$AB$13="Media",'Mapa final'!$AD$13="Catastrófico"),CONCATENATE("R3C",'Mapa final'!$R$13),"")</f>
        <v/>
      </c>
      <c r="W108" s="43" t="str">
        <f>IF(AND('Mapa final'!$AB$14="Media",'Mapa final'!$AD$14="Catastrófico"),CONCATENATE("R3C",'Mapa final'!$R$14),"")</f>
        <v/>
      </c>
      <c r="X108" s="97" t="str">
        <f>IF(AND('Mapa final'!$AB$15="Media",'Mapa final'!$AD$15="Catastrófico"),CONCATENATE("R3C",'Mapa final'!$R$15),"")</f>
        <v/>
      </c>
      <c r="Y108" s="55"/>
      <c r="Z108" s="327"/>
      <c r="AA108" s="328"/>
      <c r="AB108" s="328"/>
      <c r="AC108" s="328"/>
      <c r="AD108" s="328"/>
      <c r="AE108" s="329"/>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row>
    <row r="109" spans="1:61" ht="15" customHeight="1" x14ac:dyDescent="0.25">
      <c r="A109" s="55"/>
      <c r="B109" s="316"/>
      <c r="C109" s="316"/>
      <c r="D109" s="317"/>
      <c r="E109" s="306"/>
      <c r="F109" s="305"/>
      <c r="G109" s="305"/>
      <c r="H109" s="305"/>
      <c r="I109" s="305"/>
      <c r="J109" s="48" t="e">
        <f>IF(AND('Mapa final'!#REF!="Media",'Mapa final'!#REF!="Leve"),CONCATENATE("R4C",'Mapa final'!#REF!),"")</f>
        <v>#REF!</v>
      </c>
      <c r="K109" s="49" t="e">
        <f>IF(AND('Mapa final'!#REF!="Media",'Mapa final'!#REF!="Leve"),CONCATENATE("R4C",'Mapa final'!#REF!),"")</f>
        <v>#REF!</v>
      </c>
      <c r="L109" s="108" t="e">
        <f>IF(AND('Mapa final'!#REF!="Media",'Mapa final'!#REF!="Leve"),CONCATENATE("R4C",'Mapa final'!#REF!),"")</f>
        <v>#REF!</v>
      </c>
      <c r="M109" s="48" t="e">
        <f>IF(AND('Mapa final'!#REF!="Media",'Mapa final'!#REF!="Menor"),CONCATENATE("R4C",'Mapa final'!#REF!),"")</f>
        <v>#REF!</v>
      </c>
      <c r="N109" s="49" t="e">
        <f>IF(AND('Mapa final'!#REF!="Media",'Mapa final'!#REF!="Menor"),CONCATENATE("R4C",'Mapa final'!#REF!),"")</f>
        <v>#REF!</v>
      </c>
      <c r="O109" s="108" t="e">
        <f>IF(AND('Mapa final'!#REF!="Media",'Mapa final'!#REF!="Menor"),CONCATENATE("R4C",'Mapa final'!#REF!),"")</f>
        <v>#REF!</v>
      </c>
      <c r="P109" s="48" t="e">
        <f>IF(AND('Mapa final'!#REF!="Media",'Mapa final'!#REF!="Moderado"),CONCATENATE("R4C",'Mapa final'!#REF!),"")</f>
        <v>#REF!</v>
      </c>
      <c r="Q109" s="49" t="e">
        <f>IF(AND('Mapa final'!#REF!="Media",'Mapa final'!#REF!="Moderado"),CONCATENATE("R4C",'Mapa final'!#REF!),"")</f>
        <v>#REF!</v>
      </c>
      <c r="R109" s="108" t="e">
        <f>IF(AND('Mapa final'!#REF!="Media",'Mapa final'!#REF!="Moderado"),CONCATENATE("R4C",'Mapa final'!#REF!),"")</f>
        <v>#REF!</v>
      </c>
      <c r="S109" s="102" t="e">
        <f>IF(AND('Mapa final'!#REF!="Media",'Mapa final'!#REF!="Mayor"),CONCATENATE("R4C",'Mapa final'!#REF!),"")</f>
        <v>#REF!</v>
      </c>
      <c r="T109" s="41" t="e">
        <f>IF(AND('Mapa final'!#REF!="Media",'Mapa final'!#REF!="Mayor"),CONCATENATE("R4C",'Mapa final'!#REF!),"")</f>
        <v>#REF!</v>
      </c>
      <c r="U109" s="103" t="e">
        <f>IF(AND('Mapa final'!#REF!="Media",'Mapa final'!#REF!="Mayor"),CONCATENATE("R4C",'Mapa final'!#REF!),"")</f>
        <v>#REF!</v>
      </c>
      <c r="V109" s="42" t="e">
        <f>IF(AND('Mapa final'!#REF!="Media",'Mapa final'!#REF!="Catastrófico"),CONCATENATE("R4C",'Mapa final'!#REF!),"")</f>
        <v>#REF!</v>
      </c>
      <c r="W109" s="43" t="e">
        <f>IF(AND('Mapa final'!#REF!="Media",'Mapa final'!#REF!="Catastrófico"),CONCATENATE("R4C",'Mapa final'!#REF!),"")</f>
        <v>#REF!</v>
      </c>
      <c r="X109" s="97" t="e">
        <f>IF(AND('Mapa final'!#REF!="Media",'Mapa final'!#REF!="Catastrófico"),CONCATENATE("R4C",'Mapa final'!#REF!),"")</f>
        <v>#REF!</v>
      </c>
      <c r="Y109" s="55"/>
      <c r="Z109" s="327"/>
      <c r="AA109" s="328"/>
      <c r="AB109" s="328"/>
      <c r="AC109" s="328"/>
      <c r="AD109" s="328"/>
      <c r="AE109" s="329"/>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row>
    <row r="110" spans="1:61" ht="15" customHeight="1" x14ac:dyDescent="0.25">
      <c r="A110" s="55"/>
      <c r="B110" s="316"/>
      <c r="C110" s="316"/>
      <c r="D110" s="317"/>
      <c r="E110" s="306"/>
      <c r="F110" s="305"/>
      <c r="G110" s="305"/>
      <c r="H110" s="305"/>
      <c r="I110" s="305"/>
      <c r="J110" s="48" t="str">
        <f>IF(AND('Mapa final'!$AB$16="Media",'Mapa final'!$AD$16="Leve"),CONCATENATE("R5C",'Mapa final'!$R$16),"")</f>
        <v/>
      </c>
      <c r="K110" s="49" t="str">
        <f>IF(AND('Mapa final'!$AB$17="Media",'Mapa final'!$AD$17="Leve"),CONCATENATE("R5C",'Mapa final'!$R$17),"")</f>
        <v/>
      </c>
      <c r="L110" s="108" t="str">
        <f>IF(AND('Mapa final'!$AB$18="Media",'Mapa final'!$AD$18="Leve"),CONCATENATE("R5C",'Mapa final'!$R$18),"")</f>
        <v/>
      </c>
      <c r="M110" s="48" t="str">
        <f>IF(AND('Mapa final'!$AB$16="Media",'Mapa final'!$AD$16="Menor"),CONCATENATE("R5C",'Mapa final'!$R$16),"")</f>
        <v/>
      </c>
      <c r="N110" s="49" t="str">
        <f>IF(AND('Mapa final'!$AB$17="Media",'Mapa final'!$AD$17="Menor"),CONCATENATE("R5C",'Mapa final'!$R$17),"")</f>
        <v/>
      </c>
      <c r="O110" s="108" t="str">
        <f>IF(AND('Mapa final'!$AB$18="Media",'Mapa final'!$AD$18="Menor"),CONCATENATE("R5C",'Mapa final'!$R$18),"")</f>
        <v/>
      </c>
      <c r="P110" s="48" t="str">
        <f>IF(AND('Mapa final'!$AB$16="Media",'Mapa final'!$AD$16="Moderado"),CONCATENATE("R5C",'Mapa final'!$R$16),"")</f>
        <v>R5C1</v>
      </c>
      <c r="Q110" s="49" t="str">
        <f>IF(AND('Mapa final'!$AB$17="Media",'Mapa final'!$AD$17="Moderado"),CONCATENATE("R5C",'Mapa final'!$R$17),"")</f>
        <v/>
      </c>
      <c r="R110" s="108" t="str">
        <f>IF(AND('Mapa final'!$AB$18="Media",'Mapa final'!$AD$18="Moderado"),CONCATENATE("R5C",'Mapa final'!$R$18),"")</f>
        <v/>
      </c>
      <c r="S110" s="102" t="str">
        <f>IF(AND('Mapa final'!$AB$16="Media",'Mapa final'!$AD$16="Mayor"),CONCATENATE("R5C",'Mapa final'!$R$16),"")</f>
        <v/>
      </c>
      <c r="T110" s="41" t="str">
        <f>IF(AND('Mapa final'!$AB$17="Media",'Mapa final'!$AD$17="Mayor"),CONCATENATE("R5C",'Mapa final'!$R$17),"")</f>
        <v/>
      </c>
      <c r="U110" s="103" t="str">
        <f>IF(AND('Mapa final'!$AB$18="Media",'Mapa final'!$AD$18="Mayor"),CONCATENATE("R5C",'Mapa final'!$R$18),"")</f>
        <v/>
      </c>
      <c r="V110" s="42" t="str">
        <f>IF(AND('Mapa final'!$AB$16="Media",'Mapa final'!$AD$16="Catastrófico"),CONCATENATE("R5C",'Mapa final'!$R$16),"")</f>
        <v/>
      </c>
      <c r="W110" s="43" t="str">
        <f>IF(AND('Mapa final'!$AB$17="Media",'Mapa final'!$AD$17="Catastrófico"),CONCATENATE("R5C",'Mapa final'!$R$17),"")</f>
        <v/>
      </c>
      <c r="X110" s="97" t="str">
        <f>IF(AND('Mapa final'!$AB$18="Media",'Mapa final'!$AD$18="Catastrófico"),CONCATENATE("R5C",'Mapa final'!$R$18),"")</f>
        <v/>
      </c>
      <c r="Y110" s="55"/>
      <c r="Z110" s="327"/>
      <c r="AA110" s="328"/>
      <c r="AB110" s="328"/>
      <c r="AC110" s="328"/>
      <c r="AD110" s="328"/>
      <c r="AE110" s="329"/>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row>
    <row r="111" spans="1:61" ht="15" customHeight="1" x14ac:dyDescent="0.25">
      <c r="A111" s="55"/>
      <c r="B111" s="316"/>
      <c r="C111" s="316"/>
      <c r="D111" s="317"/>
      <c r="E111" s="306"/>
      <c r="F111" s="305"/>
      <c r="G111" s="305"/>
      <c r="H111" s="305"/>
      <c r="I111" s="305"/>
      <c r="J111" s="48" t="str">
        <f>IF(AND('Mapa final'!$AB$19="Media",'Mapa final'!$AD$19="Leve"),CONCATENATE("R6C",'Mapa final'!$R$19),"")</f>
        <v/>
      </c>
      <c r="K111" s="49" t="str">
        <f>IF(AND('Mapa final'!$AB$20="Media",'Mapa final'!$AD$20="Leve"),CONCATENATE("R6C",'Mapa final'!$R$20),"")</f>
        <v/>
      </c>
      <c r="L111" s="108" t="str">
        <f>IF(AND('Mapa final'!$AB$21="Media",'Mapa final'!$AD$21="Leve"),CONCATENATE("R6C",'Mapa final'!$R$21),"")</f>
        <v/>
      </c>
      <c r="M111" s="48" t="str">
        <f>IF(AND('Mapa final'!$AB$19="Media",'Mapa final'!$AD$19="Menor"),CONCATENATE("R6C",'Mapa final'!$R$19),"")</f>
        <v/>
      </c>
      <c r="N111" s="49" t="str">
        <f>IF(AND('Mapa final'!$AB$20="Media",'Mapa final'!$AD$20="Menor"),CONCATENATE("R6C",'Mapa final'!$R$20),"")</f>
        <v/>
      </c>
      <c r="O111" s="108" t="str">
        <f>IF(AND('Mapa final'!$AB$21="Media",'Mapa final'!$AD$21="Menor"),CONCATENATE("R6C",'Mapa final'!$R$21),"")</f>
        <v/>
      </c>
      <c r="P111" s="48" t="str">
        <f>IF(AND('Mapa final'!$AB$19="Media",'Mapa final'!$AD$19="Moderado"),CONCATENATE("R6C",'Mapa final'!$R$19),"")</f>
        <v/>
      </c>
      <c r="Q111" s="49" t="str">
        <f>IF(AND('Mapa final'!$AB$20="Media",'Mapa final'!$AD$20="Moderado"),CONCATENATE("R6C",'Mapa final'!$R$20),"")</f>
        <v/>
      </c>
      <c r="R111" s="108" t="str">
        <f>IF(AND('Mapa final'!$AB$21="Media",'Mapa final'!$AD$21="Moderado"),CONCATENATE("R6C",'Mapa final'!$R$21),"")</f>
        <v/>
      </c>
      <c r="S111" s="102" t="str">
        <f>IF(AND('Mapa final'!$AB$19="Media",'Mapa final'!$AD$19="Mayor"),CONCATENATE("R6C",'Mapa final'!$R$19),"")</f>
        <v/>
      </c>
      <c r="T111" s="41" t="str">
        <f>IF(AND('Mapa final'!$AB$20="Media",'Mapa final'!$AD$20="Mayor"),CONCATENATE("R6C",'Mapa final'!$R$20),"")</f>
        <v/>
      </c>
      <c r="U111" s="103" t="str">
        <f>IF(AND('Mapa final'!$AB$21="Media",'Mapa final'!$AD$21="Mayor"),CONCATENATE("R6C",'Mapa final'!$R$21),"")</f>
        <v/>
      </c>
      <c r="V111" s="42" t="str">
        <f>IF(AND('Mapa final'!$AB$19="Media",'Mapa final'!$AD$19="Catastrófico"),CONCATENATE("R6C",'Mapa final'!$R$19),"")</f>
        <v/>
      </c>
      <c r="W111" s="43" t="str">
        <f>IF(AND('Mapa final'!$AB$20="Media",'Mapa final'!$AD$20="Catastrófico"),CONCATENATE("R6C",'Mapa final'!$R$20),"")</f>
        <v/>
      </c>
      <c r="X111" s="97" t="str">
        <f>IF(AND('Mapa final'!$AB$21="Media",'Mapa final'!$AD$21="Catastrófico"),CONCATENATE("R6C",'Mapa final'!$R$21),"")</f>
        <v/>
      </c>
      <c r="Y111" s="55"/>
      <c r="Z111" s="327"/>
      <c r="AA111" s="328"/>
      <c r="AB111" s="328"/>
      <c r="AC111" s="328"/>
      <c r="AD111" s="328"/>
      <c r="AE111" s="329"/>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row>
    <row r="112" spans="1:61" ht="15" customHeight="1" x14ac:dyDescent="0.25">
      <c r="A112" s="55"/>
      <c r="B112" s="316"/>
      <c r="C112" s="316"/>
      <c r="D112" s="317"/>
      <c r="E112" s="306"/>
      <c r="F112" s="305"/>
      <c r="G112" s="305"/>
      <c r="H112" s="305"/>
      <c r="I112" s="305"/>
      <c r="J112" s="48" t="str">
        <f>IF(AND('Mapa final'!$AB$22="Media",'Mapa final'!$AD$22="Leve"),CONCATENATE("R7C",'Mapa final'!$R$22),"")</f>
        <v/>
      </c>
      <c r="K112" s="49" t="str">
        <f>IF(AND('Mapa final'!$AB$23="Media",'Mapa final'!$AD$23="Leve"),CONCATENATE("R7C",'Mapa final'!$R$23),"")</f>
        <v/>
      </c>
      <c r="L112" s="108" t="str">
        <f>IF(AND('Mapa final'!$AB$24="Media",'Mapa final'!$AD$24="Leve"),CONCATENATE("R7C",'Mapa final'!$R$24),"")</f>
        <v/>
      </c>
      <c r="M112" s="48" t="str">
        <f>IF(AND('Mapa final'!$AB$22="Media",'Mapa final'!$AD$22="Menor"),CONCATENATE("R7C",'Mapa final'!$R$22),"")</f>
        <v/>
      </c>
      <c r="N112" s="49" t="str">
        <f>IF(AND('Mapa final'!$AB$23="Media",'Mapa final'!$AD$23="Menor"),CONCATENATE("R7C",'Mapa final'!$R$23),"")</f>
        <v/>
      </c>
      <c r="O112" s="108" t="str">
        <f>IF(AND('Mapa final'!$AB$24="Media",'Mapa final'!$AD$24="Menor"),CONCATENATE("R7C",'Mapa final'!$R$24),"")</f>
        <v/>
      </c>
      <c r="P112" s="48" t="str">
        <f>IF(AND('Mapa final'!$AB$22="Media",'Mapa final'!$AD$22="Moderado"),CONCATENATE("R7C",'Mapa final'!$R$22),"")</f>
        <v/>
      </c>
      <c r="Q112" s="49" t="str">
        <f>IF(AND('Mapa final'!$AB$23="Media",'Mapa final'!$AD$23="Moderado"),CONCATENATE("R7C",'Mapa final'!$R$23),"")</f>
        <v/>
      </c>
      <c r="R112" s="108" t="str">
        <f>IF(AND('Mapa final'!$AB$24="Media",'Mapa final'!$AD$24="Moderado"),CONCATENATE("R7C",'Mapa final'!$R$24),"")</f>
        <v/>
      </c>
      <c r="S112" s="102" t="str">
        <f>IF(AND('Mapa final'!$AB$22="Media",'Mapa final'!$AD$22="Mayor"),CONCATENATE("R7C",'Mapa final'!$R$22),"")</f>
        <v/>
      </c>
      <c r="T112" s="41" t="str">
        <f>IF(AND('Mapa final'!$AB$23="Media",'Mapa final'!$AD$23="Mayor"),CONCATENATE("R7C",'Mapa final'!$R$23),"")</f>
        <v/>
      </c>
      <c r="U112" s="103" t="str">
        <f>IF(AND('Mapa final'!$AB$24="Media",'Mapa final'!$AD$24="Mayor"),CONCATENATE("R7C",'Mapa final'!$R$24),"")</f>
        <v/>
      </c>
      <c r="V112" s="42" t="str">
        <f>IF(AND('Mapa final'!$AB$22="Media",'Mapa final'!$AD$22="Catastrófico"),CONCATENATE("R7C",'Mapa final'!$R$22),"")</f>
        <v/>
      </c>
      <c r="W112" s="43" t="str">
        <f>IF(AND('Mapa final'!$AB$23="Media",'Mapa final'!$AD$23="Catastrófico"),CONCATENATE("R7C",'Mapa final'!$R$23),"")</f>
        <v/>
      </c>
      <c r="X112" s="97" t="str">
        <f>IF(AND('Mapa final'!$AB$24="Media",'Mapa final'!$AD$24="Catastrófico"),CONCATENATE("R7C",'Mapa final'!$R$24),"")</f>
        <v/>
      </c>
      <c r="Y112" s="55"/>
      <c r="Z112" s="327"/>
      <c r="AA112" s="328"/>
      <c r="AB112" s="328"/>
      <c r="AC112" s="328"/>
      <c r="AD112" s="328"/>
      <c r="AE112" s="329"/>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row>
    <row r="113" spans="1:61" ht="15" customHeight="1" x14ac:dyDescent="0.25">
      <c r="A113" s="55"/>
      <c r="B113" s="316"/>
      <c r="C113" s="316"/>
      <c r="D113" s="317"/>
      <c r="E113" s="306"/>
      <c r="F113" s="305"/>
      <c r="G113" s="305"/>
      <c r="H113" s="305"/>
      <c r="I113" s="305"/>
      <c r="J113" s="48" t="str">
        <f>IF(AND('Mapa final'!$AB$25="Media",'Mapa final'!$AD$25="Leve"),CONCATENATE("R8C",'Mapa final'!$R$25),"")</f>
        <v/>
      </c>
      <c r="K113" s="49" t="str">
        <f>IF(AND('Mapa final'!$AB$26="Media",'Mapa final'!$AD$26="Leve"),CONCATENATE("R8C",'Mapa final'!$R$26),"")</f>
        <v/>
      </c>
      <c r="L113" s="108" t="str">
        <f>IF(AND('Mapa final'!$AB$27="Media",'Mapa final'!$AD$27="Leve"),CONCATENATE("R8C",'Mapa final'!$R$27),"")</f>
        <v/>
      </c>
      <c r="M113" s="48" t="str">
        <f>IF(AND('Mapa final'!$AB$25="Media",'Mapa final'!$AD$25="Menor"),CONCATENATE("R8C",'Mapa final'!$R$25),"")</f>
        <v/>
      </c>
      <c r="N113" s="49" t="str">
        <f>IF(AND('Mapa final'!$AB$26="Media",'Mapa final'!$AD$26="Menor"),CONCATENATE("R8C",'Mapa final'!$R$26),"")</f>
        <v/>
      </c>
      <c r="O113" s="108" t="str">
        <f>IF(AND('Mapa final'!$AB$27="Media",'Mapa final'!$AD$27="Menor"),CONCATENATE("R8C",'Mapa final'!$R$27),"")</f>
        <v/>
      </c>
      <c r="P113" s="48" t="str">
        <f>IF(AND('Mapa final'!$AB$25="Media",'Mapa final'!$AD$25="Moderado"),CONCATENATE("R8C",'Mapa final'!$R$25),"")</f>
        <v>R8C1</v>
      </c>
      <c r="Q113" s="49" t="str">
        <f>IF(AND('Mapa final'!$AB$26="Media",'Mapa final'!$AD$26="Moderado"),CONCATENATE("R8C",'Mapa final'!$R$26),"")</f>
        <v/>
      </c>
      <c r="R113" s="108" t="str">
        <f>IF(AND('Mapa final'!$AB$27="Media",'Mapa final'!$AD$27="Moderado"),CONCATENATE("R8C",'Mapa final'!$R$27),"")</f>
        <v/>
      </c>
      <c r="S113" s="102" t="str">
        <f>IF(AND('Mapa final'!$AB$25="Media",'Mapa final'!$AD$25="Mayor"),CONCATENATE("R8C",'Mapa final'!$R$25),"")</f>
        <v/>
      </c>
      <c r="T113" s="41" t="str">
        <f>IF(AND('Mapa final'!$AB$26="Media",'Mapa final'!$AD$26="Mayor"),CONCATENATE("R8C",'Mapa final'!$R$26),"")</f>
        <v/>
      </c>
      <c r="U113" s="103" t="str">
        <f>IF(AND('Mapa final'!$AB$27="Media",'Mapa final'!$AD$27="Mayor"),CONCATENATE("R8C",'Mapa final'!$R$27),"")</f>
        <v/>
      </c>
      <c r="V113" s="42" t="str">
        <f>IF(AND('Mapa final'!$AB$25="Media",'Mapa final'!$AD$25="Catastrófico"),CONCATENATE("R8C",'Mapa final'!$R$25),"")</f>
        <v/>
      </c>
      <c r="W113" s="43" t="str">
        <f>IF(AND('Mapa final'!$AB$26="Media",'Mapa final'!$AD$26="Catastrófico"),CONCATENATE("R8C",'Mapa final'!$R$26),"")</f>
        <v/>
      </c>
      <c r="X113" s="97" t="str">
        <f>IF(AND('Mapa final'!$AB$27="Media",'Mapa final'!$AD$27="Catastrófico"),CONCATENATE("R8C",'Mapa final'!$R$27),"")</f>
        <v/>
      </c>
      <c r="Y113" s="55"/>
      <c r="Z113" s="327"/>
      <c r="AA113" s="328"/>
      <c r="AB113" s="328"/>
      <c r="AC113" s="328"/>
      <c r="AD113" s="328"/>
      <c r="AE113" s="329"/>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row>
    <row r="114" spans="1:61" ht="15" customHeight="1" x14ac:dyDescent="0.25">
      <c r="A114" s="55"/>
      <c r="B114" s="316"/>
      <c r="C114" s="316"/>
      <c r="D114" s="317"/>
      <c r="E114" s="306"/>
      <c r="F114" s="305"/>
      <c r="G114" s="305"/>
      <c r="H114" s="305"/>
      <c r="I114" s="305"/>
      <c r="J114" s="48" t="str">
        <f>IF(AND('Mapa final'!$AB$28="Media",'Mapa final'!$AD$28="Leve"),CONCATENATE("R9C",'Mapa final'!$R$28),"")</f>
        <v/>
      </c>
      <c r="K114" s="49" t="str">
        <f>IF(AND('Mapa final'!$AB$29="Media",'Mapa final'!$AD$29="Leve"),CONCATENATE("R9C",'Mapa final'!$R$29),"")</f>
        <v/>
      </c>
      <c r="L114" s="108" t="str">
        <f>IF(AND('Mapa final'!$AB$30="Media",'Mapa final'!$AD$30="Leve"),CONCATENATE("R9C",'Mapa final'!$R$30),"")</f>
        <v/>
      </c>
      <c r="M114" s="48" t="str">
        <f>IF(AND('Mapa final'!$AB$28="Media",'Mapa final'!$AD$28="Menor"),CONCATENATE("R9C",'Mapa final'!$R$28),"")</f>
        <v/>
      </c>
      <c r="N114" s="49" t="str">
        <f>IF(AND('Mapa final'!$AB$29="Media",'Mapa final'!$AD$29="Menor"),CONCATENATE("R9C",'Mapa final'!$R$29),"")</f>
        <v/>
      </c>
      <c r="O114" s="108" t="str">
        <f>IF(AND('Mapa final'!$AB$30="Media",'Mapa final'!$AD$30="Menor"),CONCATENATE("R9C",'Mapa final'!$R$30),"")</f>
        <v/>
      </c>
      <c r="P114" s="48" t="str">
        <f>IF(AND('Mapa final'!$AB$28="Media",'Mapa final'!$AD$28="Moderado"),CONCATENATE("R9C",'Mapa final'!$R$28),"")</f>
        <v/>
      </c>
      <c r="Q114" s="49" t="str">
        <f>IF(AND('Mapa final'!$AB$29="Media",'Mapa final'!$AD$29="Moderado"),CONCATENATE("R9C",'Mapa final'!$R$29),"")</f>
        <v/>
      </c>
      <c r="R114" s="108" t="str">
        <f>IF(AND('Mapa final'!$AB$30="Media",'Mapa final'!$AD$30="Moderado"),CONCATENATE("R9C",'Mapa final'!$R$30),"")</f>
        <v/>
      </c>
      <c r="S114" s="102" t="str">
        <f>IF(AND('Mapa final'!$AB$28="Media",'Mapa final'!$AD$28="Mayor"),CONCATENATE("R9C",'Mapa final'!$R$28),"")</f>
        <v>R9C1</v>
      </c>
      <c r="T114" s="41" t="str">
        <f>IF(AND('Mapa final'!$AB$29="Media",'Mapa final'!$AD$29="Mayor"),CONCATENATE("R9C",'Mapa final'!$R$29),"")</f>
        <v/>
      </c>
      <c r="U114" s="103" t="str">
        <f>IF(AND('Mapa final'!$AB$30="Media",'Mapa final'!$AD$30="Mayor"),CONCATENATE("R9C",'Mapa final'!$R$30),"")</f>
        <v/>
      </c>
      <c r="V114" s="42" t="str">
        <f>IF(AND('Mapa final'!$AB$28="Media",'Mapa final'!$AD$28="Catastrófico"),CONCATENATE("R9C",'Mapa final'!$R$28),"")</f>
        <v/>
      </c>
      <c r="W114" s="43" t="str">
        <f>IF(AND('Mapa final'!$AB$29="Media",'Mapa final'!$AD$29="Catastrófico"),CONCATENATE("R9C",'Mapa final'!$R$29),"")</f>
        <v/>
      </c>
      <c r="X114" s="97" t="str">
        <f>IF(AND('Mapa final'!$AB$30="Media",'Mapa final'!$AD$30="Catastrófico"),CONCATENATE("R9C",'Mapa final'!$R$30),"")</f>
        <v/>
      </c>
      <c r="Y114" s="55"/>
      <c r="Z114" s="327"/>
      <c r="AA114" s="328"/>
      <c r="AB114" s="328"/>
      <c r="AC114" s="328"/>
      <c r="AD114" s="328"/>
      <c r="AE114" s="329"/>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row>
    <row r="115" spans="1:61" ht="15" customHeight="1" x14ac:dyDescent="0.25">
      <c r="A115" s="55"/>
      <c r="B115" s="316"/>
      <c r="C115" s="316"/>
      <c r="D115" s="317"/>
      <c r="E115" s="306"/>
      <c r="F115" s="305"/>
      <c r="G115" s="305"/>
      <c r="H115" s="305"/>
      <c r="I115" s="305"/>
      <c r="J115" s="48" t="str">
        <f>IF(AND('Mapa final'!$AB$31="Media",'Mapa final'!$AD$31="Leve"),CONCATENATE("R10C",'Mapa final'!$R$31),"")</f>
        <v/>
      </c>
      <c r="K115" s="49" t="str">
        <f>IF(AND('Mapa final'!$AB$32="Media",'Mapa final'!$AD$32="Leve"),CONCATENATE("R10C",'Mapa final'!$R$32),"")</f>
        <v/>
      </c>
      <c r="L115" s="108" t="str">
        <f>IF(AND('Mapa final'!$AB$33="Media",'Mapa final'!$AD$33="Leve"),CONCATENATE("R10C",'Mapa final'!$R$33),"")</f>
        <v/>
      </c>
      <c r="M115" s="48" t="str">
        <f>IF(AND('Mapa final'!$AB$31="Media",'Mapa final'!$AD$31="Menor"),CONCATENATE("R10C",'Mapa final'!$R$31),"")</f>
        <v/>
      </c>
      <c r="N115" s="49" t="str">
        <f>IF(AND('Mapa final'!$AB$32="Media",'Mapa final'!$AD$32="Menor"),CONCATENATE("R10C",'Mapa final'!$R$32),"")</f>
        <v/>
      </c>
      <c r="O115" s="108" t="str">
        <f>IF(AND('Mapa final'!$AB$33="Media",'Mapa final'!$AD$33="Menor"),CONCATENATE("R10C",'Mapa final'!$R$33),"")</f>
        <v/>
      </c>
      <c r="P115" s="48" t="str">
        <f>IF(AND('Mapa final'!$AB$31="Media",'Mapa final'!$AD$31="Moderado"),CONCATENATE("R10C",'Mapa final'!$R$31),"")</f>
        <v>R10C1</v>
      </c>
      <c r="Q115" s="49" t="str">
        <f>IF(AND('Mapa final'!$AB$32="Media",'Mapa final'!$AD$32="Moderado"),CONCATENATE("R10C",'Mapa final'!$R$32),"")</f>
        <v/>
      </c>
      <c r="R115" s="108" t="str">
        <f>IF(AND('Mapa final'!$AB$33="Media",'Mapa final'!$AD$33="Moderado"),CONCATENATE("R10C",'Mapa final'!$R$33),"")</f>
        <v/>
      </c>
      <c r="S115" s="102" t="str">
        <f>IF(AND('Mapa final'!$AB$31="Media",'Mapa final'!$AD$31="Mayor"),CONCATENATE("R10C",'Mapa final'!$R$31),"")</f>
        <v/>
      </c>
      <c r="T115" s="41" t="str">
        <f>IF(AND('Mapa final'!$AB$32="Media",'Mapa final'!$AD$32="Mayor"),CONCATENATE("R10C",'Mapa final'!$R$32),"")</f>
        <v/>
      </c>
      <c r="U115" s="103" t="str">
        <f>IF(AND('Mapa final'!$AB$33="Media",'Mapa final'!$AD$33="Mayor"),CONCATENATE("R10C",'Mapa final'!$R$33),"")</f>
        <v/>
      </c>
      <c r="V115" s="42" t="str">
        <f>IF(AND('Mapa final'!$AB$31="Media",'Mapa final'!$AD$31="Catastrófico"),CONCATENATE("R10C",'Mapa final'!$R$31),"")</f>
        <v/>
      </c>
      <c r="W115" s="43" t="str">
        <f>IF(AND('Mapa final'!$AB$32="Media",'Mapa final'!$AD$32="Catastrófico"),CONCATENATE("R10C",'Mapa final'!$R$32),"")</f>
        <v/>
      </c>
      <c r="X115" s="97" t="str">
        <f>IF(AND('Mapa final'!$AB$33="Media",'Mapa final'!$AD$33="Catastrófico"),CONCATENATE("R10C",'Mapa final'!$R$33),"")</f>
        <v/>
      </c>
      <c r="Y115" s="55"/>
      <c r="Z115" s="327"/>
      <c r="AA115" s="328"/>
      <c r="AB115" s="328"/>
      <c r="AC115" s="328"/>
      <c r="AD115" s="328"/>
      <c r="AE115" s="329"/>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row>
    <row r="116" spans="1:61" ht="15" customHeight="1" x14ac:dyDescent="0.25">
      <c r="A116" s="55"/>
      <c r="B116" s="316"/>
      <c r="C116" s="316"/>
      <c r="D116" s="317"/>
      <c r="E116" s="306"/>
      <c r="F116" s="305"/>
      <c r="G116" s="305"/>
      <c r="H116" s="305"/>
      <c r="I116" s="305"/>
      <c r="J116" s="48" t="str">
        <f>IF(AND('Mapa final'!$AB$34="Media",'Mapa final'!$AD$34="Leve"),CONCATENATE("R11C",'Mapa final'!$R$34),"")</f>
        <v/>
      </c>
      <c r="K116" s="49" t="str">
        <f>IF(AND('Mapa final'!$AB$35="Media",'Mapa final'!$AD$35="Leve"),CONCATENATE("R11C",'Mapa final'!$R$35),"")</f>
        <v/>
      </c>
      <c r="L116" s="108" t="str">
        <f>IF(AND('Mapa final'!$AB$36="Media",'Mapa final'!$AD$36="Leve"),CONCATENATE("R11C",'Mapa final'!$R$36),"")</f>
        <v/>
      </c>
      <c r="M116" s="48" t="str">
        <f>IF(AND('Mapa final'!$AB$34="Media",'Mapa final'!$AD$34="Menor"),CONCATENATE("R11C",'Mapa final'!$R$34),"")</f>
        <v/>
      </c>
      <c r="N116" s="49" t="str">
        <f>IF(AND('Mapa final'!$AB$35="Media",'Mapa final'!$AD$35="Menor"),CONCATENATE("R11C",'Mapa final'!$R$35),"")</f>
        <v/>
      </c>
      <c r="O116" s="108" t="str">
        <f>IF(AND('Mapa final'!$AB$36="Media",'Mapa final'!$AD$36="Menor"),CONCATENATE("R11C",'Mapa final'!$R$36),"")</f>
        <v/>
      </c>
      <c r="P116" s="48" t="str">
        <f>IF(AND('Mapa final'!$AB$34="Media",'Mapa final'!$AD$34="Moderado"),CONCATENATE("R11C",'Mapa final'!$R$34),"")</f>
        <v/>
      </c>
      <c r="Q116" s="49" t="str">
        <f>IF(AND('Mapa final'!$AB$35="Media",'Mapa final'!$AD$35="Moderado"),CONCATENATE("R11C",'Mapa final'!$R$35),"")</f>
        <v/>
      </c>
      <c r="R116" s="108" t="str">
        <f>IF(AND('Mapa final'!$AB$36="Media",'Mapa final'!$AD$36="Moderado"),CONCATENATE("R11C",'Mapa final'!$R$36),"")</f>
        <v/>
      </c>
      <c r="S116" s="102" t="str">
        <f>IF(AND('Mapa final'!$AB$34="Media",'Mapa final'!$AD$34="Mayor"),CONCATENATE("R11C",'Mapa final'!$R$34),"")</f>
        <v/>
      </c>
      <c r="T116" s="41" t="str">
        <f>IF(AND('Mapa final'!$AB$35="Media",'Mapa final'!$AD$35="Mayor"),CONCATENATE("R11C",'Mapa final'!$R$35),"")</f>
        <v/>
      </c>
      <c r="U116" s="103" t="str">
        <f>IF(AND('Mapa final'!$AB$36="Media",'Mapa final'!$AD$36="Mayor"),CONCATENATE("R11C",'Mapa final'!$R$36),"")</f>
        <v/>
      </c>
      <c r="V116" s="42" t="str">
        <f>IF(AND('Mapa final'!$AB$34="Media",'Mapa final'!$AD$34="Catastrófico"),CONCATENATE("R11C",'Mapa final'!$R$34),"")</f>
        <v/>
      </c>
      <c r="W116" s="43" t="str">
        <f>IF(AND('Mapa final'!$AB$35="Media",'Mapa final'!$AD$35="Catastrófico"),CONCATENATE("R11C",'Mapa final'!$R$35),"")</f>
        <v/>
      </c>
      <c r="X116" s="97" t="str">
        <f>IF(AND('Mapa final'!$AB$36="Media",'Mapa final'!$AD$36="Catastrófico"),CONCATENATE("R11C",'Mapa final'!$R$36),"")</f>
        <v/>
      </c>
      <c r="Y116" s="55"/>
      <c r="Z116" s="327"/>
      <c r="AA116" s="328"/>
      <c r="AB116" s="328"/>
      <c r="AC116" s="328"/>
      <c r="AD116" s="328"/>
      <c r="AE116" s="329"/>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row>
    <row r="117" spans="1:61" ht="15" customHeight="1" x14ac:dyDescent="0.25">
      <c r="A117" s="55"/>
      <c r="B117" s="316"/>
      <c r="C117" s="316"/>
      <c r="D117" s="317"/>
      <c r="E117" s="306"/>
      <c r="F117" s="305"/>
      <c r="G117" s="305"/>
      <c r="H117" s="305"/>
      <c r="I117" s="305"/>
      <c r="J117" s="48" t="str">
        <f>IF(AND('Mapa final'!$AB$37="Media",'Mapa final'!$AD$37="Leve"),CONCATENATE("R12C",'Mapa final'!$R$37),"")</f>
        <v/>
      </c>
      <c r="K117" s="49" t="str">
        <f>IF(AND('Mapa final'!$AB$38="Media",'Mapa final'!$AD$38="Leve"),CONCATENATE("R12C",'Mapa final'!$R$38),"")</f>
        <v/>
      </c>
      <c r="L117" s="108" t="str">
        <f>IF(AND('Mapa final'!$AB$39="Media",'Mapa final'!$AD$39="Leve"),CONCATENATE("R12C",'Mapa final'!$R$39),"")</f>
        <v/>
      </c>
      <c r="M117" s="48" t="str">
        <f>IF(AND('Mapa final'!$AB$37="Media",'Mapa final'!$AD$37="Menor"),CONCATENATE("R12C",'Mapa final'!$R$37),"")</f>
        <v/>
      </c>
      <c r="N117" s="49" t="str">
        <f>IF(AND('Mapa final'!$AB$38="Media",'Mapa final'!$AD$38="Menor"),CONCATENATE("R12C",'Mapa final'!$R$38),"")</f>
        <v/>
      </c>
      <c r="O117" s="108" t="str">
        <f>IF(AND('Mapa final'!$AB$39="Media",'Mapa final'!$AD$39="Menor"),CONCATENATE("R12C",'Mapa final'!$R$39),"")</f>
        <v/>
      </c>
      <c r="P117" s="48" t="str">
        <f>IF(AND('Mapa final'!$AB$37="Media",'Mapa final'!$AD$37="Moderado"),CONCATENATE("R12C",'Mapa final'!$R$37),"")</f>
        <v/>
      </c>
      <c r="Q117" s="49" t="str">
        <f>IF(AND('Mapa final'!$AB$38="Media",'Mapa final'!$AD$38="Moderado"),CONCATENATE("R12C",'Mapa final'!$R$38),"")</f>
        <v/>
      </c>
      <c r="R117" s="108" t="str">
        <f>IF(AND('Mapa final'!$AB$39="Media",'Mapa final'!$AD$39="Moderado"),CONCATENATE("R12C",'Mapa final'!$R$39),"")</f>
        <v/>
      </c>
      <c r="S117" s="102" t="str">
        <f>IF(AND('Mapa final'!$AB$37="Media",'Mapa final'!$AD$37="Mayor"),CONCATENATE("R12C",'Mapa final'!$R$37),"")</f>
        <v/>
      </c>
      <c r="T117" s="41" t="str">
        <f>IF(AND('Mapa final'!$AB$38="Media",'Mapa final'!$AD$38="Mayor"),CONCATENATE("R12C",'Mapa final'!$R$38),"")</f>
        <v/>
      </c>
      <c r="U117" s="103" t="str">
        <f>IF(AND('Mapa final'!$AB$39="Media",'Mapa final'!$AD$39="Mayor"),CONCATENATE("R12C",'Mapa final'!$R$39),"")</f>
        <v/>
      </c>
      <c r="V117" s="42" t="str">
        <f>IF(AND('Mapa final'!$AB$37="Media",'Mapa final'!$AD$37="Catastrófico"),CONCATENATE("R12C",'Mapa final'!$R$37),"")</f>
        <v/>
      </c>
      <c r="W117" s="43" t="str">
        <f>IF(AND('Mapa final'!$AB$38="Media",'Mapa final'!$AD$38="Catastrófico"),CONCATENATE("R12C",'Mapa final'!$R$38),"")</f>
        <v/>
      </c>
      <c r="X117" s="97" t="str">
        <f>IF(AND('Mapa final'!$AB$39="Media",'Mapa final'!$AD$39="Catastrófico"),CONCATENATE("R12C",'Mapa final'!$R$39),"")</f>
        <v/>
      </c>
      <c r="Y117" s="55"/>
      <c r="Z117" s="327"/>
      <c r="AA117" s="328"/>
      <c r="AB117" s="328"/>
      <c r="AC117" s="328"/>
      <c r="AD117" s="328"/>
      <c r="AE117" s="329"/>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row>
    <row r="118" spans="1:61" ht="15" customHeight="1" x14ac:dyDescent="0.25">
      <c r="A118" s="55"/>
      <c r="B118" s="316"/>
      <c r="C118" s="316"/>
      <c r="D118" s="317"/>
      <c r="E118" s="306"/>
      <c r="F118" s="305"/>
      <c r="G118" s="305"/>
      <c r="H118" s="305"/>
      <c r="I118" s="305"/>
      <c r="J118" s="48" t="str">
        <f>IF(AND('Mapa final'!$AB$40="Media",'Mapa final'!$AD$40="Leve"),CONCATENATE("R13C",'Mapa final'!$R$40),"")</f>
        <v/>
      </c>
      <c r="K118" s="49" t="str">
        <f>IF(AND('Mapa final'!$AB$41="Media",'Mapa final'!$AD$41="Leve"),CONCATENATE("R13C",'Mapa final'!$R$41),"")</f>
        <v/>
      </c>
      <c r="L118" s="108" t="str">
        <f>IF(AND('Mapa final'!$AB$42="Media",'Mapa final'!$AD$42="Leve"),CONCATENATE("R13C",'Mapa final'!$R$42),"")</f>
        <v/>
      </c>
      <c r="M118" s="48" t="str">
        <f>IF(AND('Mapa final'!$AB$40="Media",'Mapa final'!$AD$40="Menor"),CONCATENATE("R13C",'Mapa final'!$R$40),"")</f>
        <v/>
      </c>
      <c r="N118" s="49" t="str">
        <f>IF(AND('Mapa final'!$AB$41="Media",'Mapa final'!$AD$41="Menor"),CONCATENATE("R13C",'Mapa final'!$R$41),"")</f>
        <v/>
      </c>
      <c r="O118" s="108" t="str">
        <f>IF(AND('Mapa final'!$AB$42="Media",'Mapa final'!$AD$42="Menor"),CONCATENATE("R13C",'Mapa final'!$R$42),"")</f>
        <v/>
      </c>
      <c r="P118" s="48" t="str">
        <f>IF(AND('Mapa final'!$AB$40="Media",'Mapa final'!$AD$40="Moderado"),CONCATENATE("R13C",'Mapa final'!$R$40),"")</f>
        <v/>
      </c>
      <c r="Q118" s="49" t="str">
        <f>IF(AND('Mapa final'!$AB$41="Media",'Mapa final'!$AD$41="Moderado"),CONCATENATE("R13C",'Mapa final'!$R$41),"")</f>
        <v/>
      </c>
      <c r="R118" s="108" t="str">
        <f>IF(AND('Mapa final'!$AB$42="Media",'Mapa final'!$AD$42="Moderado"),CONCATENATE("R13C",'Mapa final'!$R$42),"")</f>
        <v/>
      </c>
      <c r="S118" s="102" t="str">
        <f>IF(AND('Mapa final'!$AB$40="Media",'Mapa final'!$AD$40="Mayor"),CONCATENATE("R13C",'Mapa final'!$R$40),"")</f>
        <v/>
      </c>
      <c r="T118" s="41" t="str">
        <f>IF(AND('Mapa final'!$AB$41="Media",'Mapa final'!$AD$41="Mayor"),CONCATENATE("R13C",'Mapa final'!$R$41),"")</f>
        <v/>
      </c>
      <c r="U118" s="103" t="str">
        <f>IF(AND('Mapa final'!$AB$42="Media",'Mapa final'!$AD$42="Mayor"),CONCATENATE("R13C",'Mapa final'!$R$42),"")</f>
        <v/>
      </c>
      <c r="V118" s="42" t="str">
        <f>IF(AND('Mapa final'!$AB$40="Media",'Mapa final'!$AD$40="Catastrófico"),CONCATENATE("R13C",'Mapa final'!$R$40),"")</f>
        <v/>
      </c>
      <c r="W118" s="43" t="str">
        <f>IF(AND('Mapa final'!$AB$41="Media",'Mapa final'!$AD$41="Catastrófico"),CONCATENATE("R13C",'Mapa final'!$R$41),"")</f>
        <v/>
      </c>
      <c r="X118" s="97" t="str">
        <f>IF(AND('Mapa final'!$AB$42="Media",'Mapa final'!$AD$42="Catastrófico"),CONCATENATE("R13C",'Mapa final'!$R$42),"")</f>
        <v/>
      </c>
      <c r="Y118" s="55"/>
      <c r="Z118" s="327"/>
      <c r="AA118" s="328"/>
      <c r="AB118" s="328"/>
      <c r="AC118" s="328"/>
      <c r="AD118" s="328"/>
      <c r="AE118" s="329"/>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row>
    <row r="119" spans="1:61" ht="15" customHeight="1" x14ac:dyDescent="0.25">
      <c r="A119" s="55"/>
      <c r="B119" s="316"/>
      <c r="C119" s="316"/>
      <c r="D119" s="317"/>
      <c r="E119" s="306"/>
      <c r="F119" s="305"/>
      <c r="G119" s="305"/>
      <c r="H119" s="305"/>
      <c r="I119" s="305"/>
      <c r="J119" s="48" t="str">
        <f>IF(AND('Mapa final'!$AB$43="Media",'Mapa final'!$AD$43="Leve"),CONCATENATE("R14C",'Mapa final'!$R$43),"")</f>
        <v/>
      </c>
      <c r="K119" s="49" t="str">
        <f>IF(AND('Mapa final'!$AB$44="Media",'Mapa final'!$AD$44="Leve"),CONCATENATE("R14C",'Mapa final'!$R$44),"")</f>
        <v/>
      </c>
      <c r="L119" s="108" t="str">
        <f>IF(AND('Mapa final'!$AB$45="Media",'Mapa final'!$AD$45="Leve"),CONCATENATE("R14C",'Mapa final'!$R$45),"")</f>
        <v/>
      </c>
      <c r="M119" s="48" t="str">
        <f>IF(AND('Mapa final'!$AB$43="Media",'Mapa final'!$AD$43="Menor"),CONCATENATE("R14C",'Mapa final'!$R$43),"")</f>
        <v/>
      </c>
      <c r="N119" s="49" t="str">
        <f>IF(AND('Mapa final'!$AB$44="Media",'Mapa final'!$AD$44="Menor"),CONCATENATE("R14C",'Mapa final'!$R$44),"")</f>
        <v/>
      </c>
      <c r="O119" s="108" t="str">
        <f>IF(AND('Mapa final'!$AB$45="Media",'Mapa final'!$AD$45="Menor"),CONCATENATE("R14C",'Mapa final'!$R$45),"")</f>
        <v/>
      </c>
      <c r="P119" s="48" t="str">
        <f>IF(AND('Mapa final'!$AB$43="Media",'Mapa final'!$AD$43="Moderado"),CONCATENATE("R14C",'Mapa final'!$R$43),"")</f>
        <v/>
      </c>
      <c r="Q119" s="49" t="str">
        <f>IF(AND('Mapa final'!$AB$44="Media",'Mapa final'!$AD$44="Moderado"),CONCATENATE("R14C",'Mapa final'!$R$44),"")</f>
        <v/>
      </c>
      <c r="R119" s="108" t="str">
        <f>IF(AND('Mapa final'!$AB$45="Media",'Mapa final'!$AD$45="Moderado"),CONCATENATE("R14C",'Mapa final'!$R$45),"")</f>
        <v/>
      </c>
      <c r="S119" s="102" t="str">
        <f>IF(AND('Mapa final'!$AB$43="Media",'Mapa final'!$AD$43="Mayor"),CONCATENATE("R14C",'Mapa final'!$R$43),"")</f>
        <v/>
      </c>
      <c r="T119" s="41" t="str">
        <f>IF(AND('Mapa final'!$AB$44="Media",'Mapa final'!$AD$44="Mayor"),CONCATENATE("R14C",'Mapa final'!$R$44),"")</f>
        <v/>
      </c>
      <c r="U119" s="103" t="str">
        <f>IF(AND('Mapa final'!$AB$45="Media",'Mapa final'!$AD$45="Mayor"),CONCATENATE("R14C",'Mapa final'!$R$45),"")</f>
        <v/>
      </c>
      <c r="V119" s="42" t="str">
        <f>IF(AND('Mapa final'!$AB$43="Media",'Mapa final'!$AD$43="Catastrófico"),CONCATENATE("R14C",'Mapa final'!$R$43),"")</f>
        <v/>
      </c>
      <c r="W119" s="43" t="str">
        <f>IF(AND('Mapa final'!$AB$44="Media",'Mapa final'!$AD$44="Catastrófico"),CONCATENATE("R14C",'Mapa final'!$R$44),"")</f>
        <v/>
      </c>
      <c r="X119" s="97" t="str">
        <f>IF(AND('Mapa final'!$AB$45="Media",'Mapa final'!$AD$45="Catastrófico"),CONCATENATE("R14C",'Mapa final'!$R$45),"")</f>
        <v/>
      </c>
      <c r="Y119" s="55"/>
      <c r="Z119" s="327"/>
      <c r="AA119" s="328"/>
      <c r="AB119" s="328"/>
      <c r="AC119" s="328"/>
      <c r="AD119" s="328"/>
      <c r="AE119" s="329"/>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row>
    <row r="120" spans="1:61" ht="15" customHeight="1" x14ac:dyDescent="0.25">
      <c r="A120" s="55"/>
      <c r="B120" s="316"/>
      <c r="C120" s="316"/>
      <c r="D120" s="317"/>
      <c r="E120" s="306"/>
      <c r="F120" s="305"/>
      <c r="G120" s="305"/>
      <c r="H120" s="305"/>
      <c r="I120" s="305"/>
      <c r="J120" s="48" t="str">
        <f>IF(AND('Mapa final'!$AB$46="Media",'Mapa final'!$AD$46="Leve"),CONCATENATE("R15C",'Mapa final'!$R$46),"")</f>
        <v/>
      </c>
      <c r="K120" s="49" t="str">
        <f>IF(AND('Mapa final'!$AB$47="Media",'Mapa final'!$AD$47="Leve"),CONCATENATE("R15C",'Mapa final'!$R$47),"")</f>
        <v/>
      </c>
      <c r="L120" s="108" t="str">
        <f>IF(AND('Mapa final'!$AB$48="Media",'Mapa final'!$AD$48="Leve"),CONCATENATE("R15C",'Mapa final'!$R$48),"")</f>
        <v/>
      </c>
      <c r="M120" s="48" t="str">
        <f>IF(AND('Mapa final'!$AB$46="Media",'Mapa final'!$AD$46="Menor"),CONCATENATE("R15C",'Mapa final'!$R$46),"")</f>
        <v/>
      </c>
      <c r="N120" s="49" t="str">
        <f>IF(AND('Mapa final'!$AB$47="Media",'Mapa final'!$AD$47="Menor"),CONCATENATE("R15C",'Mapa final'!$R$47),"")</f>
        <v/>
      </c>
      <c r="O120" s="108" t="str">
        <f>IF(AND('Mapa final'!$AB$48="Media",'Mapa final'!$AD$48="Menor"),CONCATENATE("R15C",'Mapa final'!$R$48),"")</f>
        <v/>
      </c>
      <c r="P120" s="48" t="str">
        <f>IF(AND('Mapa final'!$AB$46="Media",'Mapa final'!$AD$46="Moderado"),CONCATENATE("R15C",'Mapa final'!$R$46),"")</f>
        <v>R15C1</v>
      </c>
      <c r="Q120" s="49" t="str">
        <f>IF(AND('Mapa final'!$AB$47="Media",'Mapa final'!$AD$47="Moderado"),CONCATENATE("R15C",'Mapa final'!$R$47),"")</f>
        <v/>
      </c>
      <c r="R120" s="108" t="str">
        <f>IF(AND('Mapa final'!$AB$48="Media",'Mapa final'!$AD$48="Moderado"),CONCATENATE("R15C",'Mapa final'!$R$48),"")</f>
        <v/>
      </c>
      <c r="S120" s="102" t="str">
        <f>IF(AND('Mapa final'!$AB$46="Media",'Mapa final'!$AD$46="Mayor"),CONCATENATE("R15C",'Mapa final'!$R$46),"")</f>
        <v/>
      </c>
      <c r="T120" s="41" t="str">
        <f>IF(AND('Mapa final'!$AB$47="Media",'Mapa final'!$AD$47="Mayor"),CONCATENATE("R15C",'Mapa final'!$R$47),"")</f>
        <v/>
      </c>
      <c r="U120" s="103" t="str">
        <f>IF(AND('Mapa final'!$AB$48="Media",'Mapa final'!$AD$48="Mayor"),CONCATENATE("R15C",'Mapa final'!$R$48),"")</f>
        <v/>
      </c>
      <c r="V120" s="42" t="str">
        <f>IF(AND('Mapa final'!$AB$46="Media",'Mapa final'!$AD$46="Catastrófico"),CONCATENATE("R15C",'Mapa final'!$R$46),"")</f>
        <v/>
      </c>
      <c r="W120" s="43" t="str">
        <f>IF(AND('Mapa final'!$AB$47="Media",'Mapa final'!$AD$47="Catastrófico"),CONCATENATE("R15C",'Mapa final'!$R$47),"")</f>
        <v/>
      </c>
      <c r="X120" s="97" t="str">
        <f>IF(AND('Mapa final'!$AB$48="Media",'Mapa final'!$AD$48="Catastrófico"),CONCATENATE("R15C",'Mapa final'!$R$48),"")</f>
        <v/>
      </c>
      <c r="Y120" s="55"/>
      <c r="Z120" s="327"/>
      <c r="AA120" s="328"/>
      <c r="AB120" s="328"/>
      <c r="AC120" s="328"/>
      <c r="AD120" s="328"/>
      <c r="AE120" s="329"/>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row>
    <row r="121" spans="1:61" ht="15" customHeight="1" x14ac:dyDescent="0.25">
      <c r="A121" s="55"/>
      <c r="B121" s="316"/>
      <c r="C121" s="316"/>
      <c r="D121" s="317"/>
      <c r="E121" s="306"/>
      <c r="F121" s="305"/>
      <c r="G121" s="305"/>
      <c r="H121" s="305"/>
      <c r="I121" s="305"/>
      <c r="J121" s="48" t="str">
        <f>IF(AND('Mapa final'!$AB$49="Media",'Mapa final'!$AD$49="Leve"),CONCATENATE("R16C",'Mapa final'!$R$49),"")</f>
        <v/>
      </c>
      <c r="K121" s="49" t="str">
        <f>IF(AND('Mapa final'!$AB$50="Media",'Mapa final'!$AD$50="Leve"),CONCATENATE("R16C",'Mapa final'!$R$50),"")</f>
        <v/>
      </c>
      <c r="L121" s="108" t="str">
        <f>IF(AND('Mapa final'!$AB$51="Media",'Mapa final'!$AD$51="Leve"),CONCATENATE("R16C",'Mapa final'!$R$51),"")</f>
        <v/>
      </c>
      <c r="M121" s="48" t="str">
        <f>IF(AND('Mapa final'!$AB$49="Media",'Mapa final'!$AD$49="Menor"),CONCATENATE("R16C",'Mapa final'!$R$49),"")</f>
        <v/>
      </c>
      <c r="N121" s="49" t="str">
        <f>IF(AND('Mapa final'!$AB$50="Media",'Mapa final'!$AD$50="Menor"),CONCATENATE("R16C",'Mapa final'!$R$50),"")</f>
        <v/>
      </c>
      <c r="O121" s="108" t="str">
        <f>IF(AND('Mapa final'!$AB$51="Media",'Mapa final'!$AD$51="Menor"),CONCATENATE("R16C",'Mapa final'!$R$51),"")</f>
        <v/>
      </c>
      <c r="P121" s="48" t="str">
        <f>IF(AND('Mapa final'!$AB$49="Media",'Mapa final'!$AD$49="Moderado"),CONCATENATE("R16C",'Mapa final'!$R$49),"")</f>
        <v/>
      </c>
      <c r="Q121" s="49" t="str">
        <f>IF(AND('Mapa final'!$AB$50="Media",'Mapa final'!$AD$50="Moderado"),CONCATENATE("R16C",'Mapa final'!$R$50),"")</f>
        <v/>
      </c>
      <c r="R121" s="108" t="str">
        <f>IF(AND('Mapa final'!$AB$51="Media",'Mapa final'!$AD$51="Moderado"),CONCATENATE("R16C",'Mapa final'!$R$51),"")</f>
        <v/>
      </c>
      <c r="S121" s="102" t="str">
        <f>IF(AND('Mapa final'!$AB$49="Media",'Mapa final'!$AD$49="Mayor"),CONCATENATE("R16C",'Mapa final'!$R$49),"")</f>
        <v/>
      </c>
      <c r="T121" s="41" t="str">
        <f>IF(AND('Mapa final'!$AB$50="Media",'Mapa final'!$AD$50="Mayor"),CONCATENATE("R16C",'Mapa final'!$R$50),"")</f>
        <v/>
      </c>
      <c r="U121" s="103" t="str">
        <f>IF(AND('Mapa final'!$AB$51="Media",'Mapa final'!$AD$51="Mayor"),CONCATENATE("R16C",'Mapa final'!$R$51),"")</f>
        <v/>
      </c>
      <c r="V121" s="42" t="str">
        <f>IF(AND('Mapa final'!$AB$49="Media",'Mapa final'!$AD$49="Catastrófico"),CONCATENATE("R16C",'Mapa final'!$R$49),"")</f>
        <v/>
      </c>
      <c r="W121" s="43" t="str">
        <f>IF(AND('Mapa final'!$AB$50="Media",'Mapa final'!$AD$50="Catastrófico"),CONCATENATE("R16C",'Mapa final'!$R$50),"")</f>
        <v/>
      </c>
      <c r="X121" s="97" t="str">
        <f>IF(AND('Mapa final'!$AB$51="Media",'Mapa final'!$AD$51="Catastrófico"),CONCATENATE("R16C",'Mapa final'!$R$51),"")</f>
        <v/>
      </c>
      <c r="Y121" s="55"/>
      <c r="Z121" s="327"/>
      <c r="AA121" s="328"/>
      <c r="AB121" s="328"/>
      <c r="AC121" s="328"/>
      <c r="AD121" s="328"/>
      <c r="AE121" s="329"/>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row>
    <row r="122" spans="1:61" ht="15" customHeight="1" x14ac:dyDescent="0.25">
      <c r="A122" s="55"/>
      <c r="B122" s="316"/>
      <c r="C122" s="316"/>
      <c r="D122" s="317"/>
      <c r="E122" s="306"/>
      <c r="F122" s="305"/>
      <c r="G122" s="305"/>
      <c r="H122" s="305"/>
      <c r="I122" s="305"/>
      <c r="J122" s="48" t="str">
        <f>IF(AND('Mapa final'!$AB$52="Media",'Mapa final'!$AD$52="Leve"),CONCATENATE("R17C",'Mapa final'!$R$52),"")</f>
        <v/>
      </c>
      <c r="K122" s="49" t="str">
        <f>IF(AND('Mapa final'!$AB$53="Media",'Mapa final'!$AD$53="Leve"),CONCATENATE("R17C",'Mapa final'!$R$53),"")</f>
        <v/>
      </c>
      <c r="L122" s="108" t="str">
        <f>IF(AND('Mapa final'!$AB$54="Media",'Mapa final'!$AD$54="Leve"),CONCATENATE("R17C",'Mapa final'!$R$54),"")</f>
        <v/>
      </c>
      <c r="M122" s="48" t="str">
        <f>IF(AND('Mapa final'!$AB$52="Media",'Mapa final'!$AD$52="Menor"),CONCATENATE("R17C",'Mapa final'!$R$52),"")</f>
        <v/>
      </c>
      <c r="N122" s="49" t="str">
        <f>IF(AND('Mapa final'!$AB$53="Media",'Mapa final'!$AD$53="Menor"),CONCATENATE("R17C",'Mapa final'!$R$53),"")</f>
        <v/>
      </c>
      <c r="O122" s="108" t="str">
        <f>IF(AND('Mapa final'!$AB$54="Media",'Mapa final'!$AD$54="Menor"),CONCATENATE("R17C",'Mapa final'!$R$54),"")</f>
        <v/>
      </c>
      <c r="P122" s="48" t="str">
        <f>IF(AND('Mapa final'!$AB$52="Media",'Mapa final'!$AD$52="Moderado"),CONCATENATE("R17C",'Mapa final'!$R$52),"")</f>
        <v/>
      </c>
      <c r="Q122" s="49" t="str">
        <f>IF(AND('Mapa final'!$AB$53="Media",'Mapa final'!$AD$53="Moderado"),CONCATENATE("R17C",'Mapa final'!$R$53),"")</f>
        <v/>
      </c>
      <c r="R122" s="108" t="str">
        <f>IF(AND('Mapa final'!$AB$54="Media",'Mapa final'!$AD$54="Moderado"),CONCATENATE("R17C",'Mapa final'!$R$54),"")</f>
        <v/>
      </c>
      <c r="S122" s="102" t="str">
        <f>IF(AND('Mapa final'!$AB$52="Media",'Mapa final'!$AD$52="Mayor"),CONCATENATE("R17C",'Mapa final'!$R$52),"")</f>
        <v>R17C1</v>
      </c>
      <c r="T122" s="41" t="str">
        <f>IF(AND('Mapa final'!$AB$53="Media",'Mapa final'!$AD$53="Mayor"),CONCATENATE("R17C",'Mapa final'!$R$53),"")</f>
        <v/>
      </c>
      <c r="U122" s="103" t="str">
        <f>IF(AND('Mapa final'!$AB$54="Media",'Mapa final'!$AD$54="Mayor"),CONCATENATE("R17C",'Mapa final'!$R$54),"")</f>
        <v/>
      </c>
      <c r="V122" s="42" t="str">
        <f>IF(AND('Mapa final'!$AB$52="Media",'Mapa final'!$AD$52="Catastrófico"),CONCATENATE("R17C",'Mapa final'!$R$52),"")</f>
        <v/>
      </c>
      <c r="W122" s="43" t="str">
        <f>IF(AND('Mapa final'!$AB$53="Media",'Mapa final'!$AD$53="Catastrófico"),CONCATENATE("R17C",'Mapa final'!$R$53),"")</f>
        <v/>
      </c>
      <c r="X122" s="97" t="str">
        <f>IF(AND('Mapa final'!$AB$54="Media",'Mapa final'!$AD$54="Catastrófico"),CONCATENATE("R17C",'Mapa final'!$R$54),"")</f>
        <v/>
      </c>
      <c r="Y122" s="55"/>
      <c r="Z122" s="327"/>
      <c r="AA122" s="328"/>
      <c r="AB122" s="328"/>
      <c r="AC122" s="328"/>
      <c r="AD122" s="328"/>
      <c r="AE122" s="329"/>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row>
    <row r="123" spans="1:61" ht="15" customHeight="1" x14ac:dyDescent="0.25">
      <c r="A123" s="55"/>
      <c r="B123" s="316"/>
      <c r="C123" s="316"/>
      <c r="D123" s="317"/>
      <c r="E123" s="306"/>
      <c r="F123" s="305"/>
      <c r="G123" s="305"/>
      <c r="H123" s="305"/>
      <c r="I123" s="305"/>
      <c r="J123" s="48" t="str">
        <f>IF(AND('Mapa final'!$AB$55="Media",'Mapa final'!$AD$55="Leve"),CONCATENATE("R18C",'Mapa final'!$R$55),"")</f>
        <v/>
      </c>
      <c r="K123" s="49" t="str">
        <f>IF(AND('Mapa final'!$AB$56="Media",'Mapa final'!$AD$56="Leve"),CONCATENATE("R18C",'Mapa final'!$R$56),"")</f>
        <v/>
      </c>
      <c r="L123" s="108" t="str">
        <f>IF(AND('Mapa final'!$AB$57="Media",'Mapa final'!$AD$57="Leve"),CONCATENATE("R18C",'Mapa final'!$R$57),"")</f>
        <v/>
      </c>
      <c r="M123" s="48" t="str">
        <f>IF(AND('Mapa final'!$AB$55="Media",'Mapa final'!$AD$55="Menor"),CONCATENATE("R18C",'Mapa final'!$R$55),"")</f>
        <v/>
      </c>
      <c r="N123" s="49" t="str">
        <f>IF(AND('Mapa final'!$AB$56="Media",'Mapa final'!$AD$56="Menor"),CONCATENATE("R18C",'Mapa final'!$R$56),"")</f>
        <v/>
      </c>
      <c r="O123" s="108" t="str">
        <f>IF(AND('Mapa final'!$AB$57="Media",'Mapa final'!$AD$57="Menor"),CONCATENATE("R18C",'Mapa final'!$R$57),"")</f>
        <v/>
      </c>
      <c r="P123" s="48" t="str">
        <f>IF(AND('Mapa final'!$AB$55="Media",'Mapa final'!$AD$55="Moderado"),CONCATENATE("R18C",'Mapa final'!$R$55),"")</f>
        <v>R18C1</v>
      </c>
      <c r="Q123" s="49" t="str">
        <f>IF(AND('Mapa final'!$AB$56="Media",'Mapa final'!$AD$56="Moderado"),CONCATENATE("R18C",'Mapa final'!$R$56),"")</f>
        <v/>
      </c>
      <c r="R123" s="108" t="str">
        <f>IF(AND('Mapa final'!$AB$57="Media",'Mapa final'!$AD$57="Moderado"),CONCATENATE("R18C",'Mapa final'!$R$57),"")</f>
        <v/>
      </c>
      <c r="S123" s="102" t="str">
        <f>IF(AND('Mapa final'!$AB$55="Media",'Mapa final'!$AD$55="Mayor"),CONCATENATE("R18C",'Mapa final'!$R$55),"")</f>
        <v/>
      </c>
      <c r="T123" s="41" t="str">
        <f>IF(AND('Mapa final'!$AB$56="Media",'Mapa final'!$AD$56="Mayor"),CONCATENATE("R18C",'Mapa final'!$R$56),"")</f>
        <v/>
      </c>
      <c r="U123" s="103" t="str">
        <f>IF(AND('Mapa final'!$AB$57="Media",'Mapa final'!$AD$57="Mayor"),CONCATENATE("R18C",'Mapa final'!$R$57),"")</f>
        <v/>
      </c>
      <c r="V123" s="42" t="str">
        <f>IF(AND('Mapa final'!$AB$55="Media",'Mapa final'!$AD$55="Catastrófico"),CONCATENATE("R18C",'Mapa final'!$R$55),"")</f>
        <v/>
      </c>
      <c r="W123" s="43" t="str">
        <f>IF(AND('Mapa final'!$AB$56="Media",'Mapa final'!$AD$56="Catastrófico"),CONCATENATE("R18C",'Mapa final'!$R$56),"")</f>
        <v/>
      </c>
      <c r="X123" s="97" t="str">
        <f>IF(AND('Mapa final'!$AB$57="Media",'Mapa final'!$AD$57="Catastrófico"),CONCATENATE("R18C",'Mapa final'!$R$57),"")</f>
        <v/>
      </c>
      <c r="Y123" s="55"/>
      <c r="Z123" s="327"/>
      <c r="AA123" s="328"/>
      <c r="AB123" s="328"/>
      <c r="AC123" s="328"/>
      <c r="AD123" s="328"/>
      <c r="AE123" s="329"/>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row>
    <row r="124" spans="1:61" ht="15" customHeight="1" x14ac:dyDescent="0.25">
      <c r="A124" s="55"/>
      <c r="B124" s="316"/>
      <c r="C124" s="316"/>
      <c r="D124" s="317"/>
      <c r="E124" s="306"/>
      <c r="F124" s="305"/>
      <c r="G124" s="305"/>
      <c r="H124" s="305"/>
      <c r="I124" s="305"/>
      <c r="J124" s="48" t="str">
        <f>IF(AND('Mapa final'!$AB$58="Media",'Mapa final'!$AD$58="Leve"),CONCATENATE("R19C",'Mapa final'!$R$58),"")</f>
        <v/>
      </c>
      <c r="K124" s="49" t="str">
        <f>IF(AND('Mapa final'!$AB$59="Media",'Mapa final'!$AD$59="Leve"),CONCATENATE("R19C",'Mapa final'!$R$59),"")</f>
        <v/>
      </c>
      <c r="L124" s="108" t="str">
        <f>IF(AND('Mapa final'!$AB$60="Media",'Mapa final'!$AD$60="Leve"),CONCATENATE("R19C",'Mapa final'!$R$60),"")</f>
        <v/>
      </c>
      <c r="M124" s="48" t="str">
        <f>IF(AND('Mapa final'!$AB$58="Media",'Mapa final'!$AD$58="Menor"),CONCATENATE("R19C",'Mapa final'!$R$58),"")</f>
        <v/>
      </c>
      <c r="N124" s="49" t="str">
        <f>IF(AND('Mapa final'!$AB$59="Media",'Mapa final'!$AD$59="Menor"),CONCATENATE("R19C",'Mapa final'!$R$59),"")</f>
        <v/>
      </c>
      <c r="O124" s="108" t="str">
        <f>IF(AND('Mapa final'!$AB$60="Media",'Mapa final'!$AD$60="Menor"),CONCATENATE("R19C",'Mapa final'!$R$60),"")</f>
        <v/>
      </c>
      <c r="P124" s="48" t="str">
        <f>IF(AND('Mapa final'!$AB$58="Media",'Mapa final'!$AD$58="Moderado"),CONCATENATE("R19C",'Mapa final'!$R$58),"")</f>
        <v>R19C1</v>
      </c>
      <c r="Q124" s="49" t="str">
        <f>IF(AND('Mapa final'!$AB$59="Media",'Mapa final'!$AD$59="Moderado"),CONCATENATE("R19C",'Mapa final'!$R$59),"")</f>
        <v/>
      </c>
      <c r="R124" s="108" t="str">
        <f>IF(AND('Mapa final'!$AB$60="Media",'Mapa final'!$AD$60="Moderado"),CONCATENATE("R19C",'Mapa final'!$R$60),"")</f>
        <v/>
      </c>
      <c r="S124" s="102" t="str">
        <f>IF(AND('Mapa final'!$AB$58="Media",'Mapa final'!$AD$58="Mayor"),CONCATENATE("R19C",'Mapa final'!$R$58),"")</f>
        <v/>
      </c>
      <c r="T124" s="41" t="str">
        <f>IF(AND('Mapa final'!$AB$59="Media",'Mapa final'!$AD$59="Mayor"),CONCATENATE("R19C",'Mapa final'!$R$59),"")</f>
        <v/>
      </c>
      <c r="U124" s="103" t="str">
        <f>IF(AND('Mapa final'!$AB$60="Media",'Mapa final'!$AD$60="Mayor"),CONCATENATE("R19C",'Mapa final'!$R$60),"")</f>
        <v/>
      </c>
      <c r="V124" s="42" t="str">
        <f>IF(AND('Mapa final'!$AB$58="Media",'Mapa final'!$AD$58="Catastrófico"),CONCATENATE("R19C",'Mapa final'!$R$58),"")</f>
        <v/>
      </c>
      <c r="W124" s="43" t="str">
        <f>IF(AND('Mapa final'!$AB$59="Media",'Mapa final'!$AD$59="Catastrófico"),CONCATENATE("R19C",'Mapa final'!$R$59),"")</f>
        <v/>
      </c>
      <c r="X124" s="97" t="str">
        <f>IF(AND('Mapa final'!$AB$60="Media",'Mapa final'!$AD$60="Catastrófico"),CONCATENATE("R19C",'Mapa final'!$R$60),"")</f>
        <v/>
      </c>
      <c r="Y124" s="55"/>
      <c r="Z124" s="327"/>
      <c r="AA124" s="328"/>
      <c r="AB124" s="328"/>
      <c r="AC124" s="328"/>
      <c r="AD124" s="328"/>
      <c r="AE124" s="329"/>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row>
    <row r="125" spans="1:61" ht="15" customHeight="1" x14ac:dyDescent="0.25">
      <c r="A125" s="55"/>
      <c r="B125" s="316"/>
      <c r="C125" s="316"/>
      <c r="D125" s="317"/>
      <c r="E125" s="306"/>
      <c r="F125" s="305"/>
      <c r="G125" s="305"/>
      <c r="H125" s="305"/>
      <c r="I125" s="305"/>
      <c r="J125" s="48" t="str">
        <f>IF(AND('Mapa final'!$AB$61="Media",'Mapa final'!$AD$61="Leve"),CONCATENATE("R20C",'Mapa final'!$R$61),"")</f>
        <v/>
      </c>
      <c r="K125" s="49" t="str">
        <f>IF(AND('Mapa final'!$AB$62="Media",'Mapa final'!$AD$62="Leve"),CONCATENATE("R20C",'Mapa final'!$R$62),"")</f>
        <v/>
      </c>
      <c r="L125" s="108" t="str">
        <f>IF(AND('Mapa final'!$AB$63="Media",'Mapa final'!$AD$63="Leve"),CONCATENATE("R20C",'Mapa final'!$R$63),"")</f>
        <v/>
      </c>
      <c r="M125" s="48" t="str">
        <f>IF(AND('Mapa final'!$AB$61="Media",'Mapa final'!$AD$61="Menor"),CONCATENATE("R20C",'Mapa final'!$R$61),"")</f>
        <v/>
      </c>
      <c r="N125" s="49" t="str">
        <f>IF(AND('Mapa final'!$AB$62="Media",'Mapa final'!$AD$62="Menor"),CONCATENATE("R20C",'Mapa final'!$R$62),"")</f>
        <v/>
      </c>
      <c r="O125" s="108" t="str">
        <f>IF(AND('Mapa final'!$AB$63="Media",'Mapa final'!$AD$63="Menor"),CONCATENATE("R20C",'Mapa final'!$R$63),"")</f>
        <v/>
      </c>
      <c r="P125" s="48" t="str">
        <f>IF(AND('Mapa final'!$AB$61="Media",'Mapa final'!$AD$61="Moderado"),CONCATENATE("R20C",'Mapa final'!$R$61),"")</f>
        <v/>
      </c>
      <c r="Q125" s="49" t="str">
        <f>IF(AND('Mapa final'!$AB$62="Media",'Mapa final'!$AD$62="Moderado"),CONCATENATE("R20C",'Mapa final'!$R$62),"")</f>
        <v/>
      </c>
      <c r="R125" s="108" t="str">
        <f>IF(AND('Mapa final'!$AB$63="Media",'Mapa final'!$AD$63="Moderado"),CONCATENATE("R20C",'Mapa final'!$R$63),"")</f>
        <v/>
      </c>
      <c r="S125" s="102" t="str">
        <f>IF(AND('Mapa final'!$AB$61="Media",'Mapa final'!$AD$61="Mayor"),CONCATENATE("R20C",'Mapa final'!$R$61),"")</f>
        <v/>
      </c>
      <c r="T125" s="41" t="str">
        <f>IF(AND('Mapa final'!$AB$62="Media",'Mapa final'!$AD$62="Mayor"),CONCATENATE("R20C",'Mapa final'!$R$62),"")</f>
        <v/>
      </c>
      <c r="U125" s="103" t="str">
        <f>IF(AND('Mapa final'!$AB$63="Media",'Mapa final'!$AD$63="Mayor"),CONCATENATE("R20C",'Mapa final'!$R$63),"")</f>
        <v/>
      </c>
      <c r="V125" s="42" t="str">
        <f>IF(AND('Mapa final'!$AB$61="Media",'Mapa final'!$AD$61="Catastrófico"),CONCATENATE("R20C",'Mapa final'!$R$61),"")</f>
        <v/>
      </c>
      <c r="W125" s="43" t="str">
        <f>IF(AND('Mapa final'!$AB$62="Media",'Mapa final'!$AD$62="Catastrófico"),CONCATENATE("R20C",'Mapa final'!$R$62),"")</f>
        <v/>
      </c>
      <c r="X125" s="97" t="str">
        <f>IF(AND('Mapa final'!$AB$63="Media",'Mapa final'!$AD$63="Catastrófico"),CONCATENATE("R20C",'Mapa final'!$R$63),"")</f>
        <v/>
      </c>
      <c r="Y125" s="55"/>
      <c r="Z125" s="327"/>
      <c r="AA125" s="328"/>
      <c r="AB125" s="328"/>
      <c r="AC125" s="328"/>
      <c r="AD125" s="328"/>
      <c r="AE125" s="329"/>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row>
    <row r="126" spans="1:61" ht="15" customHeight="1" x14ac:dyDescent="0.25">
      <c r="A126" s="55"/>
      <c r="B126" s="316"/>
      <c r="C126" s="316"/>
      <c r="D126" s="317"/>
      <c r="E126" s="306"/>
      <c r="F126" s="305"/>
      <c r="G126" s="305"/>
      <c r="H126" s="305"/>
      <c r="I126" s="305"/>
      <c r="J126" s="48" t="str">
        <f>IF(AND('Mapa final'!$AB$64="Media",'Mapa final'!$AD$64="Leve"),CONCATENATE("R21C",'Mapa final'!$R$64),"")</f>
        <v/>
      </c>
      <c r="K126" s="49" t="str">
        <f>IF(AND('Mapa final'!$AB$65="Media",'Mapa final'!$AD$65="Leve"),CONCATENATE("R21C",'Mapa final'!$R$65),"")</f>
        <v/>
      </c>
      <c r="L126" s="108" t="str">
        <f>IF(AND('Mapa final'!$AB$66="Media",'Mapa final'!$AD$66="Leve"),CONCATENATE("R21C",'Mapa final'!$R$66),"")</f>
        <v/>
      </c>
      <c r="M126" s="48" t="str">
        <f>IF(AND('Mapa final'!$AB$64="Media",'Mapa final'!$AD$64="Menor"),CONCATENATE("R21C",'Mapa final'!$R$64),"")</f>
        <v/>
      </c>
      <c r="N126" s="49" t="str">
        <f>IF(AND('Mapa final'!$AB$65="Media",'Mapa final'!$AD$65="Menor"),CONCATENATE("R21C",'Mapa final'!$R$65),"")</f>
        <v/>
      </c>
      <c r="O126" s="108" t="str">
        <f>IF(AND('Mapa final'!$AB$66="Media",'Mapa final'!$AD$66="Menor"),CONCATENATE("R21C",'Mapa final'!$R$66),"")</f>
        <v/>
      </c>
      <c r="P126" s="48" t="str">
        <f>IF(AND('Mapa final'!$AB$64="Media",'Mapa final'!$AD$64="Moderado"),CONCATENATE("R21C",'Mapa final'!$R$64),"")</f>
        <v/>
      </c>
      <c r="Q126" s="49" t="str">
        <f>IF(AND('Mapa final'!$AB$65="Media",'Mapa final'!$AD$65="Moderado"),CONCATENATE("R21C",'Mapa final'!$R$65),"")</f>
        <v/>
      </c>
      <c r="R126" s="108" t="str">
        <f>IF(AND('Mapa final'!$AB$66="Media",'Mapa final'!$AD$66="Moderado"),CONCATENATE("R21C",'Mapa final'!$R$66),"")</f>
        <v/>
      </c>
      <c r="S126" s="102" t="str">
        <f>IF(AND('Mapa final'!$AB$64="Media",'Mapa final'!$AD$64="Mayor"),CONCATENATE("R21C",'Mapa final'!$R$64),"")</f>
        <v/>
      </c>
      <c r="T126" s="41" t="str">
        <f>IF(AND('Mapa final'!$AB$65="Media",'Mapa final'!$AD$65="Mayor"),CONCATENATE("R21C",'Mapa final'!$R$65),"")</f>
        <v/>
      </c>
      <c r="U126" s="103" t="str">
        <f>IF(AND('Mapa final'!$AB$66="Media",'Mapa final'!$AD$66="Mayor"),CONCATENATE("R21C",'Mapa final'!$R$66),"")</f>
        <v/>
      </c>
      <c r="V126" s="42" t="str">
        <f>IF(AND('Mapa final'!$AB$64="Media",'Mapa final'!$AD$64="Catastrófico"),CONCATENATE("R21C",'Mapa final'!$R$64),"")</f>
        <v/>
      </c>
      <c r="W126" s="43" t="str">
        <f>IF(AND('Mapa final'!$AB$65="Media",'Mapa final'!$AD$65="Catastrófico"),CONCATENATE("R21C",'Mapa final'!$R$65),"")</f>
        <v/>
      </c>
      <c r="X126" s="97" t="str">
        <f>IF(AND('Mapa final'!$AB$66="Media",'Mapa final'!$AD$66="Catastrófico"),CONCATENATE("R21C",'Mapa final'!$R$66),"")</f>
        <v/>
      </c>
      <c r="Y126" s="55"/>
      <c r="Z126" s="327"/>
      <c r="AA126" s="328"/>
      <c r="AB126" s="328"/>
      <c r="AC126" s="328"/>
      <c r="AD126" s="328"/>
      <c r="AE126" s="329"/>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row>
    <row r="127" spans="1:61" ht="15" customHeight="1" x14ac:dyDescent="0.25">
      <c r="A127" s="55"/>
      <c r="B127" s="316"/>
      <c r="C127" s="316"/>
      <c r="D127" s="317"/>
      <c r="E127" s="306"/>
      <c r="F127" s="305"/>
      <c r="G127" s="305"/>
      <c r="H127" s="305"/>
      <c r="I127" s="305"/>
      <c r="J127" s="48" t="str">
        <f>IF(AND('Mapa final'!$AB$67="Media",'Mapa final'!$AD$67="Leve"),CONCATENATE("R22C",'Mapa final'!$R$67),"")</f>
        <v/>
      </c>
      <c r="K127" s="49" t="str">
        <f>IF(AND('Mapa final'!$AB$68="Media",'Mapa final'!$AD$68="Leve"),CONCATENATE("R22C",'Mapa final'!$R$68),"")</f>
        <v/>
      </c>
      <c r="L127" s="108" t="str">
        <f>IF(AND('Mapa final'!$AB$69="Media",'Mapa final'!$AD$69="Leve"),CONCATENATE("R22C",'Mapa final'!$R$69),"")</f>
        <v/>
      </c>
      <c r="M127" s="48" t="str">
        <f>IF(AND('Mapa final'!$AB$67="Media",'Mapa final'!$AD$67="Menor"),CONCATENATE("R22C",'Mapa final'!$R$67),"")</f>
        <v/>
      </c>
      <c r="N127" s="49" t="str">
        <f>IF(AND('Mapa final'!$AB$68="Media",'Mapa final'!$AD$68="Menor"),CONCATENATE("R22C",'Mapa final'!$R$68),"")</f>
        <v/>
      </c>
      <c r="O127" s="108" t="str">
        <f>IF(AND('Mapa final'!$AB$69="Media",'Mapa final'!$AD$69="Menor"),CONCATENATE("R22C",'Mapa final'!$R$69),"")</f>
        <v/>
      </c>
      <c r="P127" s="48" t="str">
        <f>IF(AND('Mapa final'!$AB$67="Media",'Mapa final'!$AD$67="Moderado"),CONCATENATE("R22C",'Mapa final'!$R$67),"")</f>
        <v/>
      </c>
      <c r="Q127" s="49" t="str">
        <f>IF(AND('Mapa final'!$AB$68="Media",'Mapa final'!$AD$68="Moderado"),CONCATENATE("R22C",'Mapa final'!$R$68),"")</f>
        <v/>
      </c>
      <c r="R127" s="108" t="str">
        <f>IF(AND('Mapa final'!$AB$69="Media",'Mapa final'!$AD$69="Moderado"),CONCATENATE("R22C",'Mapa final'!$R$69),"")</f>
        <v/>
      </c>
      <c r="S127" s="102" t="str">
        <f>IF(AND('Mapa final'!$AB$67="Media",'Mapa final'!$AD$67="Mayor"),CONCATENATE("R22C",'Mapa final'!$R$67),"")</f>
        <v/>
      </c>
      <c r="T127" s="41" t="str">
        <f>IF(AND('Mapa final'!$AB$68="Media",'Mapa final'!$AD$68="Mayor"),CONCATENATE("R22C",'Mapa final'!$R$68),"")</f>
        <v/>
      </c>
      <c r="U127" s="103" t="str">
        <f>IF(AND('Mapa final'!$AB$69="Media",'Mapa final'!$AD$69="Mayor"),CONCATENATE("R22C",'Mapa final'!$R$69),"")</f>
        <v/>
      </c>
      <c r="V127" s="42" t="str">
        <f>IF(AND('Mapa final'!$AB$67="Media",'Mapa final'!$AD$67="Catastrófico"),CONCATENATE("R22C",'Mapa final'!$R$67),"")</f>
        <v/>
      </c>
      <c r="W127" s="43" t="str">
        <f>IF(AND('Mapa final'!$AB$68="Media",'Mapa final'!$AD$68="Catastrófico"),CONCATENATE("R22C",'Mapa final'!$R$68),"")</f>
        <v/>
      </c>
      <c r="X127" s="97" t="str">
        <f>IF(AND('Mapa final'!$AB$69="Media",'Mapa final'!$AD$69="Catastrófico"),CONCATENATE("R22C",'Mapa final'!$R$69),"")</f>
        <v/>
      </c>
      <c r="Y127" s="55"/>
      <c r="Z127" s="327"/>
      <c r="AA127" s="328"/>
      <c r="AB127" s="328"/>
      <c r="AC127" s="328"/>
      <c r="AD127" s="328"/>
      <c r="AE127" s="329"/>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row>
    <row r="128" spans="1:61" ht="15" customHeight="1" x14ac:dyDescent="0.25">
      <c r="A128" s="55"/>
      <c r="B128" s="316"/>
      <c r="C128" s="316"/>
      <c r="D128" s="317"/>
      <c r="E128" s="306"/>
      <c r="F128" s="305"/>
      <c r="G128" s="305"/>
      <c r="H128" s="305"/>
      <c r="I128" s="305"/>
      <c r="J128" s="48" t="str">
        <f>IF(AND('Mapa final'!$AB$73="Media",'Mapa final'!$AD$73="Leve"),CONCATENATE("R23C",'Mapa final'!$R$73),"")</f>
        <v/>
      </c>
      <c r="K128" s="49" t="str">
        <f>IF(AND('Mapa final'!$AB$74="Media",'Mapa final'!$AD$74="Leve"),CONCATENATE("R23C",'Mapa final'!$R$74),"")</f>
        <v/>
      </c>
      <c r="L128" s="108" t="str">
        <f>IF(AND('Mapa final'!$AB$75="Media",'Mapa final'!$AD$75="Leve"),CONCATENATE("R23C",'Mapa final'!$R$75),"")</f>
        <v/>
      </c>
      <c r="M128" s="48" t="str">
        <f>IF(AND('Mapa final'!$AB$73="Media",'Mapa final'!$AD$73="Menor"),CONCATENATE("R23C",'Mapa final'!$R$73),"")</f>
        <v/>
      </c>
      <c r="N128" s="49" t="str">
        <f>IF(AND('Mapa final'!$AB$74="Media",'Mapa final'!$AD$74="Menor"),CONCATENATE("R23C",'Mapa final'!$R$74),"")</f>
        <v/>
      </c>
      <c r="O128" s="108" t="str">
        <f>IF(AND('Mapa final'!$AB$75="Media",'Mapa final'!$AD$75="Menor"),CONCATENATE("R23C",'Mapa final'!$R$75),"")</f>
        <v/>
      </c>
      <c r="P128" s="48" t="str">
        <f>IF(AND('Mapa final'!$AB$73="Media",'Mapa final'!$AD$73="Moderado"),CONCATENATE("R23C",'Mapa final'!$R$73),"")</f>
        <v/>
      </c>
      <c r="Q128" s="49" t="str">
        <f>IF(AND('Mapa final'!$AB$74="Media",'Mapa final'!$AD$74="Moderado"),CONCATENATE("R23C",'Mapa final'!$R$74),"")</f>
        <v/>
      </c>
      <c r="R128" s="108" t="str">
        <f>IF(AND('Mapa final'!$AB$75="Media",'Mapa final'!$AD$75="Moderado"),CONCATENATE("R23C",'Mapa final'!$R$75),"")</f>
        <v/>
      </c>
      <c r="S128" s="102" t="str">
        <f>IF(AND('Mapa final'!$AB$73="Media",'Mapa final'!$AD$73="Mayor"),CONCATENATE("R23C",'Mapa final'!$R$73),"")</f>
        <v/>
      </c>
      <c r="T128" s="41" t="str">
        <f>IF(AND('Mapa final'!$AB$74="Media",'Mapa final'!$AD$74="Mayor"),CONCATENATE("R23C",'Mapa final'!$R$74),"")</f>
        <v/>
      </c>
      <c r="U128" s="103" t="str">
        <f>IF(AND('Mapa final'!$AB$75="Media",'Mapa final'!$AD$75="Mayor"),CONCATENATE("R23C",'Mapa final'!$R$75),"")</f>
        <v/>
      </c>
      <c r="V128" s="42" t="str">
        <f>IF(AND('Mapa final'!$AB$73="Media",'Mapa final'!$AD$73="Catastrófico"),CONCATENATE("R23C",'Mapa final'!$R$73),"")</f>
        <v/>
      </c>
      <c r="W128" s="43" t="str">
        <f>IF(AND('Mapa final'!$AB$74="Media",'Mapa final'!$AD$74="Catastrófico"),CONCATENATE("R23C",'Mapa final'!$R$74),"")</f>
        <v/>
      </c>
      <c r="X128" s="97" t="str">
        <f>IF(AND('Mapa final'!$AB$75="Media",'Mapa final'!$AD$75="Catastrófico"),CONCATENATE("R23C",'Mapa final'!$R$75),"")</f>
        <v/>
      </c>
      <c r="Y128" s="55"/>
      <c r="Z128" s="327"/>
      <c r="AA128" s="328"/>
      <c r="AB128" s="328"/>
      <c r="AC128" s="328"/>
      <c r="AD128" s="328"/>
      <c r="AE128" s="329"/>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row>
    <row r="129" spans="1:61" ht="15" customHeight="1" x14ac:dyDescent="0.25">
      <c r="A129" s="55"/>
      <c r="B129" s="316"/>
      <c r="C129" s="316"/>
      <c r="D129" s="317"/>
      <c r="E129" s="306"/>
      <c r="F129" s="305"/>
      <c r="G129" s="305"/>
      <c r="H129" s="305"/>
      <c r="I129" s="305"/>
      <c r="J129" s="48" t="str">
        <f>IF(AND('Mapa final'!$AB$76="Media",'Mapa final'!$AD$76="Leve"),CONCATENATE("R24C",'Mapa final'!$R$76),"")</f>
        <v/>
      </c>
      <c r="K129" s="49" t="str">
        <f>IF(AND('Mapa final'!$AB$77="Media",'Mapa final'!$AD$77="Leve"),CONCATENATE("R24C",'Mapa final'!$R$77),"")</f>
        <v/>
      </c>
      <c r="L129" s="108" t="str">
        <f>IF(AND('Mapa final'!$AB$78="Media",'Mapa final'!$AD$78="Leve"),CONCATENATE("R24C",'Mapa final'!$R$78),"")</f>
        <v/>
      </c>
      <c r="M129" s="48" t="str">
        <f>IF(AND('Mapa final'!$AB$76="Media",'Mapa final'!$AD$76="Menor"),CONCATENATE("R24C",'Mapa final'!$R$76),"")</f>
        <v/>
      </c>
      <c r="N129" s="49" t="str">
        <f>IF(AND('Mapa final'!$AB$77="Media",'Mapa final'!$AD$77="Menor"),CONCATENATE("R24C",'Mapa final'!$R$77),"")</f>
        <v/>
      </c>
      <c r="O129" s="108" t="str">
        <f>IF(AND('Mapa final'!$AB$78="Media",'Mapa final'!$AD$78="Menor"),CONCATENATE("R24C",'Mapa final'!$R$78),"")</f>
        <v/>
      </c>
      <c r="P129" s="48" t="str">
        <f>IF(AND('Mapa final'!$AB$76="Media",'Mapa final'!$AD$76="Moderado"),CONCATENATE("R24C",'Mapa final'!$R$76),"")</f>
        <v/>
      </c>
      <c r="Q129" s="49" t="str">
        <f>IF(AND('Mapa final'!$AB$77="Media",'Mapa final'!$AD$77="Moderado"),CONCATENATE("R24C",'Mapa final'!$R$77),"")</f>
        <v/>
      </c>
      <c r="R129" s="108" t="str">
        <f>IF(AND('Mapa final'!$AB$78="Media",'Mapa final'!$AD$78="Moderado"),CONCATENATE("R24C",'Mapa final'!$R$78),"")</f>
        <v/>
      </c>
      <c r="S129" s="102" t="str">
        <f>IF(AND('Mapa final'!$AB$76="Media",'Mapa final'!$AD$76="Mayor"),CONCATENATE("R24C",'Mapa final'!$R$76),"")</f>
        <v/>
      </c>
      <c r="T129" s="41" t="str">
        <f>IF(AND('Mapa final'!$AB$77="Media",'Mapa final'!$AD$77="Mayor"),CONCATENATE("R24C",'Mapa final'!$R$77),"")</f>
        <v/>
      </c>
      <c r="U129" s="103" t="str">
        <f>IF(AND('Mapa final'!$AB$78="Media",'Mapa final'!$AD$78="Mayor"),CONCATENATE("R24C",'Mapa final'!$R$78),"")</f>
        <v/>
      </c>
      <c r="V129" s="42" t="str">
        <f>IF(AND('Mapa final'!$AB$76="Media",'Mapa final'!$AD$76="Catastrófico"),CONCATENATE("R24C",'Mapa final'!$R$76),"")</f>
        <v/>
      </c>
      <c r="W129" s="43" t="str">
        <f>IF(AND('Mapa final'!$AB$77="Media",'Mapa final'!$AD$77="Catastrófico"),CONCATENATE("R24C",'Mapa final'!$R$77),"")</f>
        <v/>
      </c>
      <c r="X129" s="97" t="str">
        <f>IF(AND('Mapa final'!$AB$78="Media",'Mapa final'!$AD$78="Catastrófico"),CONCATENATE("R24C",'Mapa final'!$R$78),"")</f>
        <v/>
      </c>
      <c r="Y129" s="55"/>
      <c r="Z129" s="327"/>
      <c r="AA129" s="328"/>
      <c r="AB129" s="328"/>
      <c r="AC129" s="328"/>
      <c r="AD129" s="328"/>
      <c r="AE129" s="329"/>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row>
    <row r="130" spans="1:61" ht="15" customHeight="1" x14ac:dyDescent="0.25">
      <c r="A130" s="55"/>
      <c r="B130" s="316"/>
      <c r="C130" s="316"/>
      <c r="D130" s="317"/>
      <c r="E130" s="306"/>
      <c r="F130" s="305"/>
      <c r="G130" s="305"/>
      <c r="H130" s="305"/>
      <c r="I130" s="305"/>
      <c r="J130" s="48" t="str">
        <f>IF(AND('Mapa final'!$AB$79="Media",'Mapa final'!$AD$79="Leve"),CONCATENATE("R25C",'Mapa final'!$R$79),"")</f>
        <v/>
      </c>
      <c r="K130" s="49" t="str">
        <f>IF(AND('Mapa final'!$AB$80="Media",'Mapa final'!$AD$80="Leve"),CONCATENATE("R25C",'Mapa final'!$R$80),"")</f>
        <v/>
      </c>
      <c r="L130" s="108" t="str">
        <f>IF(AND('Mapa final'!$AB$81="Media",'Mapa final'!$AD$81="Leve"),CONCATENATE("R25C",'Mapa final'!$R$81),"")</f>
        <v/>
      </c>
      <c r="M130" s="48" t="str">
        <f>IF(AND('Mapa final'!$AB$79="Media",'Mapa final'!$AD$79="Menor"),CONCATENATE("R25C",'Mapa final'!$R$79),"")</f>
        <v/>
      </c>
      <c r="N130" s="49" t="str">
        <f>IF(AND('Mapa final'!$AB$80="Media",'Mapa final'!$AD$80="Menor"),CONCATENATE("R25C",'Mapa final'!$R$80),"")</f>
        <v/>
      </c>
      <c r="O130" s="108" t="str">
        <f>IF(AND('Mapa final'!$AB$81="Media",'Mapa final'!$AD$81="Menor"),CONCATENATE("R25C",'Mapa final'!$R$81),"")</f>
        <v/>
      </c>
      <c r="P130" s="48" t="str">
        <f>IF(AND('Mapa final'!$AB$79="Media",'Mapa final'!$AD$79="Moderado"),CONCATENATE("R25C",'Mapa final'!$R$79),"")</f>
        <v/>
      </c>
      <c r="Q130" s="49" t="str">
        <f>IF(AND('Mapa final'!$AB$80="Media",'Mapa final'!$AD$80="Moderado"),CONCATENATE("R25C",'Mapa final'!$R$80),"")</f>
        <v/>
      </c>
      <c r="R130" s="108" t="str">
        <f>IF(AND('Mapa final'!$AB$81="Media",'Mapa final'!$AD$81="Moderado"),CONCATENATE("R25C",'Mapa final'!$R$81),"")</f>
        <v/>
      </c>
      <c r="S130" s="102" t="str">
        <f>IF(AND('Mapa final'!$AB$79="Media",'Mapa final'!$AD$79="Mayor"),CONCATENATE("R25C",'Mapa final'!$R$79),"")</f>
        <v/>
      </c>
      <c r="T130" s="41" t="str">
        <f>IF(AND('Mapa final'!$AB$80="Media",'Mapa final'!$AD$80="Mayor"),CONCATENATE("R25C",'Mapa final'!$R$80),"")</f>
        <v/>
      </c>
      <c r="U130" s="103" t="str">
        <f>IF(AND('Mapa final'!$AB$81="Media",'Mapa final'!$AD$81="Mayor"),CONCATENATE("R25C",'Mapa final'!$R$81),"")</f>
        <v/>
      </c>
      <c r="V130" s="42" t="str">
        <f>IF(AND('Mapa final'!$AB$79="Media",'Mapa final'!$AD$79="Catastrófico"),CONCATENATE("R25C",'Mapa final'!$R$79),"")</f>
        <v/>
      </c>
      <c r="W130" s="43" t="str">
        <f>IF(AND('Mapa final'!$AB$80="Media",'Mapa final'!$AD$80="Catastrófico"),CONCATENATE("R25C",'Mapa final'!$R$80),"")</f>
        <v/>
      </c>
      <c r="X130" s="97" t="str">
        <f>IF(AND('Mapa final'!$AB$81="Media",'Mapa final'!$AD$81="Catastrófico"),CONCATENATE("R25C",'Mapa final'!$R$81),"")</f>
        <v/>
      </c>
      <c r="Y130" s="55"/>
      <c r="Z130" s="327"/>
      <c r="AA130" s="328"/>
      <c r="AB130" s="328"/>
      <c r="AC130" s="328"/>
      <c r="AD130" s="328"/>
      <c r="AE130" s="329"/>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row>
    <row r="131" spans="1:61" ht="15" customHeight="1" x14ac:dyDescent="0.25">
      <c r="A131" s="55"/>
      <c r="B131" s="316"/>
      <c r="C131" s="316"/>
      <c r="D131" s="317"/>
      <c r="E131" s="306"/>
      <c r="F131" s="305"/>
      <c r="G131" s="305"/>
      <c r="H131" s="305"/>
      <c r="I131" s="305"/>
      <c r="J131" s="48" t="str">
        <f>IF(AND('Mapa final'!$AB$82="Media",'Mapa final'!$AD$82="Leve"),CONCATENATE("R26C",'Mapa final'!$R$82),"")</f>
        <v/>
      </c>
      <c r="K131" s="49" t="str">
        <f>IF(AND('Mapa final'!$AB$83="Media",'Mapa final'!$AD$83="Leve"),CONCATENATE("R26C",'Mapa final'!$R$83),"")</f>
        <v/>
      </c>
      <c r="L131" s="108" t="str">
        <f>IF(AND('Mapa final'!$AB$84="Media",'Mapa final'!$AD$84="Leve"),CONCATENATE("R26C",'Mapa final'!$R$84),"")</f>
        <v/>
      </c>
      <c r="M131" s="48" t="str">
        <f>IF(AND('Mapa final'!$AB$82="Media",'Mapa final'!$AD$82="Menor"),CONCATENATE("R26C",'Mapa final'!$R$82),"")</f>
        <v/>
      </c>
      <c r="N131" s="49" t="str">
        <f>IF(AND('Mapa final'!$AB$83="Media",'Mapa final'!$AD$83="Menor"),CONCATENATE("R26C",'Mapa final'!$R$83),"")</f>
        <v/>
      </c>
      <c r="O131" s="108" t="str">
        <f>IF(AND('Mapa final'!$AB$84="Media",'Mapa final'!$AD$84="Menor"),CONCATENATE("R26C",'Mapa final'!$R$84),"")</f>
        <v/>
      </c>
      <c r="P131" s="48" t="str">
        <f>IF(AND('Mapa final'!$AB$82="Media",'Mapa final'!$AD$82="Moderado"),CONCATENATE("R26C",'Mapa final'!$R$82),"")</f>
        <v/>
      </c>
      <c r="Q131" s="49" t="str">
        <f>IF(AND('Mapa final'!$AB$83="Media",'Mapa final'!$AD$83="Moderado"),CONCATENATE("R26C",'Mapa final'!$R$83),"")</f>
        <v/>
      </c>
      <c r="R131" s="108" t="str">
        <f>IF(AND('Mapa final'!$AB$84="Media",'Mapa final'!$AD$84="Moderado"),CONCATENATE("R26C",'Mapa final'!$R$84),"")</f>
        <v/>
      </c>
      <c r="S131" s="102" t="str">
        <f>IF(AND('Mapa final'!$AB$82="Media",'Mapa final'!$AD$82="Mayor"),CONCATENATE("R26C",'Mapa final'!$R$82),"")</f>
        <v/>
      </c>
      <c r="T131" s="41" t="str">
        <f>IF(AND('Mapa final'!$AB$83="Media",'Mapa final'!$AD$83="Mayor"),CONCATENATE("R26C",'Mapa final'!$R$83),"")</f>
        <v/>
      </c>
      <c r="U131" s="103" t="str">
        <f>IF(AND('Mapa final'!$AB$84="Media",'Mapa final'!$AD$84="Mayor"),CONCATENATE("R26C",'Mapa final'!$R$84),"")</f>
        <v/>
      </c>
      <c r="V131" s="42" t="str">
        <f>IF(AND('Mapa final'!$AB$82="Media",'Mapa final'!$AD$82="Catastrófico"),CONCATENATE("R26C",'Mapa final'!$R$82),"")</f>
        <v/>
      </c>
      <c r="W131" s="43" t="str">
        <f>IF(AND('Mapa final'!$AB$83="Media",'Mapa final'!$AD$83="Catastrófico"),CONCATENATE("R26C",'Mapa final'!$R$83),"")</f>
        <v/>
      </c>
      <c r="X131" s="97" t="str">
        <f>IF(AND('Mapa final'!$AB$84="Media",'Mapa final'!$AD$84="Catastrófico"),CONCATENATE("R26C",'Mapa final'!$R$84),"")</f>
        <v/>
      </c>
      <c r="Y131" s="55"/>
      <c r="Z131" s="327"/>
      <c r="AA131" s="328"/>
      <c r="AB131" s="328"/>
      <c r="AC131" s="328"/>
      <c r="AD131" s="328"/>
      <c r="AE131" s="329"/>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row>
    <row r="132" spans="1:61" ht="15" customHeight="1" x14ac:dyDescent="0.25">
      <c r="A132" s="55"/>
      <c r="B132" s="316"/>
      <c r="C132" s="316"/>
      <c r="D132" s="317"/>
      <c r="E132" s="306"/>
      <c r="F132" s="305"/>
      <c r="G132" s="305"/>
      <c r="H132" s="305"/>
      <c r="I132" s="305"/>
      <c r="J132" s="48" t="str">
        <f>IF(AND('Mapa final'!$AB$85="Media",'Mapa final'!$AD$85="Leve"),CONCATENATE("R27C",'Mapa final'!$R$85),"")</f>
        <v/>
      </c>
      <c r="K132" s="49" t="str">
        <f>IF(AND('Mapa final'!$AB$86="Media",'Mapa final'!$AD$86="Leve"),CONCATENATE("R27C",'Mapa final'!$R$86),"")</f>
        <v/>
      </c>
      <c r="L132" s="108" t="str">
        <f>IF(AND('Mapa final'!$AB$87="Media",'Mapa final'!$AD$87="Leve"),CONCATENATE("R27C",'Mapa final'!$R$87),"")</f>
        <v/>
      </c>
      <c r="M132" s="48" t="str">
        <f>IF(AND('Mapa final'!$AB$85="Media",'Mapa final'!$AD$85="Menor"),CONCATENATE("R27C",'Mapa final'!$R$85),"")</f>
        <v/>
      </c>
      <c r="N132" s="49" t="str">
        <f>IF(AND('Mapa final'!$AB$86="Media",'Mapa final'!$AD$86="Menor"),CONCATENATE("R27C",'Mapa final'!$R$86),"")</f>
        <v/>
      </c>
      <c r="O132" s="108" t="str">
        <f>IF(AND('Mapa final'!$AB$87="Media",'Mapa final'!$AD$87="Menor"),CONCATENATE("R27C",'Mapa final'!$R$87),"")</f>
        <v/>
      </c>
      <c r="P132" s="48" t="str">
        <f>IF(AND('Mapa final'!$AB$85="Media",'Mapa final'!$AD$85="Moderado"),CONCATENATE("R27C",'Mapa final'!$R$85),"")</f>
        <v/>
      </c>
      <c r="Q132" s="49" t="str">
        <f>IF(AND('Mapa final'!$AB$86="Media",'Mapa final'!$AD$86="Moderado"),CONCATENATE("R27C",'Mapa final'!$R$86),"")</f>
        <v/>
      </c>
      <c r="R132" s="108" t="str">
        <f>IF(AND('Mapa final'!$AB$87="Media",'Mapa final'!$AD$87="Moderado"),CONCATENATE("R27C",'Mapa final'!$R$87),"")</f>
        <v/>
      </c>
      <c r="S132" s="102" t="str">
        <f>IF(AND('Mapa final'!$AB$85="Media",'Mapa final'!$AD$85="Mayor"),CONCATENATE("R27C",'Mapa final'!$R$85),"")</f>
        <v/>
      </c>
      <c r="T132" s="41" t="str">
        <f>IF(AND('Mapa final'!$AB$86="Media",'Mapa final'!$AD$86="Mayor"),CONCATENATE("R27C",'Mapa final'!$R$86),"")</f>
        <v/>
      </c>
      <c r="U132" s="103" t="str">
        <f>IF(AND('Mapa final'!$AB$87="Media",'Mapa final'!$AD$87="Mayor"),CONCATENATE("R27C",'Mapa final'!$R$87),"")</f>
        <v/>
      </c>
      <c r="V132" s="42" t="str">
        <f>IF(AND('Mapa final'!$AB$85="Media",'Mapa final'!$AD$85="Catastrófico"),CONCATENATE("R27C",'Mapa final'!$R$85),"")</f>
        <v/>
      </c>
      <c r="W132" s="43" t="str">
        <f>IF(AND('Mapa final'!$AB$86="Media",'Mapa final'!$AD$86="Catastrófico"),CONCATENATE("R27C",'Mapa final'!$R$86),"")</f>
        <v/>
      </c>
      <c r="X132" s="97" t="str">
        <f>IF(AND('Mapa final'!$AB$87="Media",'Mapa final'!$AD$87="Catastrófico"),CONCATENATE("R27C",'Mapa final'!$R$87),"")</f>
        <v/>
      </c>
      <c r="Y132" s="55"/>
      <c r="Z132" s="327"/>
      <c r="AA132" s="328"/>
      <c r="AB132" s="328"/>
      <c r="AC132" s="328"/>
      <c r="AD132" s="328"/>
      <c r="AE132" s="329"/>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row>
    <row r="133" spans="1:61" ht="15" customHeight="1" x14ac:dyDescent="0.25">
      <c r="A133" s="55"/>
      <c r="B133" s="316"/>
      <c r="C133" s="316"/>
      <c r="D133" s="317"/>
      <c r="E133" s="306"/>
      <c r="F133" s="305"/>
      <c r="G133" s="305"/>
      <c r="H133" s="305"/>
      <c r="I133" s="305"/>
      <c r="J133" s="48" t="str">
        <f>IF(AND('Mapa final'!$AB$88="Media",'Mapa final'!$AD$88="Leve"),CONCATENATE("R28C",'Mapa final'!$R$88),"")</f>
        <v/>
      </c>
      <c r="K133" s="49" t="str">
        <f>IF(AND('Mapa final'!$AB$89="Media",'Mapa final'!$AD$89="Leve"),CONCATENATE("R28C",'Mapa final'!$R$89),"")</f>
        <v/>
      </c>
      <c r="L133" s="108" t="str">
        <f>IF(AND('Mapa final'!$AB$90="Media",'Mapa final'!$AD$90="Leve"),CONCATENATE("R28C",'Mapa final'!$R$90),"")</f>
        <v/>
      </c>
      <c r="M133" s="48" t="str">
        <f>IF(AND('Mapa final'!$AB$88="Media",'Mapa final'!$AD$88="Menor"),CONCATENATE("R28C",'Mapa final'!$R$88),"")</f>
        <v/>
      </c>
      <c r="N133" s="49" t="str">
        <f>IF(AND('Mapa final'!$AB$89="Media",'Mapa final'!$AD$89="Menor"),CONCATENATE("R28C",'Mapa final'!$R$89),"")</f>
        <v/>
      </c>
      <c r="O133" s="108" t="str">
        <f>IF(AND('Mapa final'!$AB$90="Media",'Mapa final'!$AD$90="Menor"),CONCATENATE("R28C",'Mapa final'!$R$90),"")</f>
        <v/>
      </c>
      <c r="P133" s="48" t="str">
        <f>IF(AND('Mapa final'!$AB$88="Media",'Mapa final'!$AD$88="Moderado"),CONCATENATE("R28C",'Mapa final'!$R$88),"")</f>
        <v/>
      </c>
      <c r="Q133" s="49" t="str">
        <f>IF(AND('Mapa final'!$AB$89="Media",'Mapa final'!$AD$89="Moderado"),CONCATENATE("R28C",'Mapa final'!$R$89),"")</f>
        <v/>
      </c>
      <c r="R133" s="108" t="str">
        <f>IF(AND('Mapa final'!$AB$90="Media",'Mapa final'!$AD$90="Moderado"),CONCATENATE("R28C",'Mapa final'!$R$90),"")</f>
        <v/>
      </c>
      <c r="S133" s="102" t="str">
        <f>IF(AND('Mapa final'!$AB$88="Media",'Mapa final'!$AD$88="Mayor"),CONCATENATE("R28C",'Mapa final'!$R$88),"")</f>
        <v/>
      </c>
      <c r="T133" s="41" t="str">
        <f>IF(AND('Mapa final'!$AB$89="Media",'Mapa final'!$AD$89="Mayor"),CONCATENATE("R28C",'Mapa final'!$R$89),"")</f>
        <v/>
      </c>
      <c r="U133" s="103" t="str">
        <f>IF(AND('Mapa final'!$AB$90="Media",'Mapa final'!$AD$90="Mayor"),CONCATENATE("R28C",'Mapa final'!$R$90),"")</f>
        <v/>
      </c>
      <c r="V133" s="42" t="str">
        <f>IF(AND('Mapa final'!$AB$88="Media",'Mapa final'!$AD$88="Catastrófico"),CONCATENATE("R28C",'Mapa final'!$R$88),"")</f>
        <v/>
      </c>
      <c r="W133" s="43" t="str">
        <f>IF(AND('Mapa final'!$AB$89="Media",'Mapa final'!$AD$89="Catastrófico"),CONCATENATE("R28C",'Mapa final'!$R$89),"")</f>
        <v/>
      </c>
      <c r="X133" s="97" t="str">
        <f>IF(AND('Mapa final'!$AB$90="Media",'Mapa final'!$AD$90="Catastrófico"),CONCATENATE("R28C",'Mapa final'!$R$90),"")</f>
        <v/>
      </c>
      <c r="Y133" s="55"/>
      <c r="Z133" s="327"/>
      <c r="AA133" s="328"/>
      <c r="AB133" s="328"/>
      <c r="AC133" s="328"/>
      <c r="AD133" s="328"/>
      <c r="AE133" s="329"/>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row>
    <row r="134" spans="1:61" ht="15" customHeight="1" x14ac:dyDescent="0.25">
      <c r="A134" s="55"/>
      <c r="B134" s="316"/>
      <c r="C134" s="316"/>
      <c r="D134" s="317"/>
      <c r="E134" s="306"/>
      <c r="F134" s="305"/>
      <c r="G134" s="305"/>
      <c r="H134" s="305"/>
      <c r="I134" s="305"/>
      <c r="J134" s="48" t="str">
        <f>IF(AND('Mapa final'!$AB$91="Media",'Mapa final'!$AD$91="Leve"),CONCATENATE("R29C",'Mapa final'!$R$91),"")</f>
        <v/>
      </c>
      <c r="K134" s="49" t="str">
        <f>IF(AND('Mapa final'!$AB$92="Media",'Mapa final'!$AD$92="Leve"),CONCATENATE("R29C",'Mapa final'!$R$92),"")</f>
        <v/>
      </c>
      <c r="L134" s="108" t="str">
        <f>IF(AND('Mapa final'!$AB$93="Media",'Mapa final'!$AD$93="Leve"),CONCATENATE("R29C",'Mapa final'!$R$93),"")</f>
        <v/>
      </c>
      <c r="M134" s="48" t="str">
        <f>IF(AND('Mapa final'!$AB$91="Media",'Mapa final'!$AD$91="Menor"),CONCATENATE("R29C",'Mapa final'!$R$91),"")</f>
        <v/>
      </c>
      <c r="N134" s="49" t="str">
        <f>IF(AND('Mapa final'!$AB$92="Media",'Mapa final'!$AD$92="Menor"),CONCATENATE("R29C",'Mapa final'!$R$92),"")</f>
        <v/>
      </c>
      <c r="O134" s="108" t="str">
        <f>IF(AND('Mapa final'!$AB$93="Media",'Mapa final'!$AD$93="Menor"),CONCATENATE("R29C",'Mapa final'!$R$93),"")</f>
        <v/>
      </c>
      <c r="P134" s="48" t="str">
        <f>IF(AND('Mapa final'!$AB$91="Media",'Mapa final'!$AD$91="Moderado"),CONCATENATE("R29C",'Mapa final'!$R$91),"")</f>
        <v/>
      </c>
      <c r="Q134" s="49" t="str">
        <f>IF(AND('Mapa final'!$AB$92="Media",'Mapa final'!$AD$92="Moderado"),CONCATENATE("R29C",'Mapa final'!$R$92),"")</f>
        <v/>
      </c>
      <c r="R134" s="108" t="str">
        <f>IF(AND('Mapa final'!$AB$93="Media",'Mapa final'!$AD$93="Moderado"),CONCATENATE("R29C",'Mapa final'!$R$93),"")</f>
        <v/>
      </c>
      <c r="S134" s="102" t="str">
        <f>IF(AND('Mapa final'!$AB$91="Media",'Mapa final'!$AD$91="Mayor"),CONCATENATE("R29C",'Mapa final'!$R$91),"")</f>
        <v/>
      </c>
      <c r="T134" s="41" t="str">
        <f>IF(AND('Mapa final'!$AB$92="Media",'Mapa final'!$AD$92="Mayor"),CONCATENATE("R29C",'Mapa final'!$R$92),"")</f>
        <v/>
      </c>
      <c r="U134" s="103" t="str">
        <f>IF(AND('Mapa final'!$AB$93="Media",'Mapa final'!$AD$93="Mayor"),CONCATENATE("R29C",'Mapa final'!$R$93),"")</f>
        <v/>
      </c>
      <c r="V134" s="42" t="str">
        <f>IF(AND('Mapa final'!$AB$91="Media",'Mapa final'!$AD$91="Catastrófico"),CONCATENATE("R29C",'Mapa final'!$R$91),"")</f>
        <v/>
      </c>
      <c r="W134" s="43" t="str">
        <f>IF(AND('Mapa final'!$AB$92="Media",'Mapa final'!$AD$92="Catastrófico"),CONCATENATE("R29C",'Mapa final'!$R$92),"")</f>
        <v/>
      </c>
      <c r="X134" s="97" t="str">
        <f>IF(AND('Mapa final'!$AB$93="Media",'Mapa final'!$AD$93="Catastrófico"),CONCATENATE("R29C",'Mapa final'!$R$93),"")</f>
        <v/>
      </c>
      <c r="Y134" s="55"/>
      <c r="Z134" s="327"/>
      <c r="AA134" s="328"/>
      <c r="AB134" s="328"/>
      <c r="AC134" s="328"/>
      <c r="AD134" s="328"/>
      <c r="AE134" s="329"/>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row>
    <row r="135" spans="1:61" ht="15" customHeight="1" x14ac:dyDescent="0.25">
      <c r="A135" s="55"/>
      <c r="B135" s="316"/>
      <c r="C135" s="316"/>
      <c r="D135" s="317"/>
      <c r="E135" s="306"/>
      <c r="F135" s="305"/>
      <c r="G135" s="305"/>
      <c r="H135" s="305"/>
      <c r="I135" s="305"/>
      <c r="J135" s="48" t="str">
        <f>IF(AND('Mapa final'!$AB$94="Media",'Mapa final'!$AD$94="Leve"),CONCATENATE("R30C",'Mapa final'!$R$94),"")</f>
        <v/>
      </c>
      <c r="K135" s="49" t="str">
        <f>IF(AND('Mapa final'!$AB$95="Media",'Mapa final'!$AD$95="Leve"),CONCATENATE("R30C",'Mapa final'!$R$95),"")</f>
        <v/>
      </c>
      <c r="L135" s="108" t="str">
        <f>IF(AND('Mapa final'!$AB$96="Media",'Mapa final'!$AD$96="Leve"),CONCATENATE("R30C",'Mapa final'!$R$96),"")</f>
        <v/>
      </c>
      <c r="M135" s="48" t="str">
        <f>IF(AND('Mapa final'!$AB$94="Media",'Mapa final'!$AD$94="Menor"),CONCATENATE("R30C",'Mapa final'!$R$94),"")</f>
        <v/>
      </c>
      <c r="N135" s="49" t="str">
        <f>IF(AND('Mapa final'!$AB$95="Media",'Mapa final'!$AD$95="Menor"),CONCATENATE("R30C",'Mapa final'!$R$95),"")</f>
        <v/>
      </c>
      <c r="O135" s="108" t="str">
        <f>IF(AND('Mapa final'!$AB$96="Media",'Mapa final'!$AD$96="Menor"),CONCATENATE("R30C",'Mapa final'!$R$96),"")</f>
        <v/>
      </c>
      <c r="P135" s="48" t="str">
        <f>IF(AND('Mapa final'!$AB$94="Media",'Mapa final'!$AD$94="Moderado"),CONCATENATE("R30C",'Mapa final'!$R$94),"")</f>
        <v/>
      </c>
      <c r="Q135" s="49" t="str">
        <f>IF(AND('Mapa final'!$AB$95="Media",'Mapa final'!$AD$95="Moderado"),CONCATENATE("R30C",'Mapa final'!$R$95),"")</f>
        <v/>
      </c>
      <c r="R135" s="108" t="str">
        <f>IF(AND('Mapa final'!$AB$96="Media",'Mapa final'!$AD$96="Moderado"),CONCATENATE("R30C",'Mapa final'!$R$96),"")</f>
        <v/>
      </c>
      <c r="S135" s="102" t="str">
        <f>IF(AND('Mapa final'!$AB$94="Media",'Mapa final'!$AD$94="Mayor"),CONCATENATE("R30C",'Mapa final'!$R$94),"")</f>
        <v>R30C1</v>
      </c>
      <c r="T135" s="41" t="str">
        <f>IF(AND('Mapa final'!$AB$95="Media",'Mapa final'!$AD$95="Mayor"),CONCATENATE("R30C",'Mapa final'!$R$95),"")</f>
        <v/>
      </c>
      <c r="U135" s="103" t="str">
        <f>IF(AND('Mapa final'!$AB$96="Media",'Mapa final'!$AD$96="Mayor"),CONCATENATE("R30C",'Mapa final'!$R$96),"")</f>
        <v/>
      </c>
      <c r="V135" s="42" t="str">
        <f>IF(AND('Mapa final'!$AB$94="Media",'Mapa final'!$AD$94="Catastrófico"),CONCATENATE("R30C",'Mapa final'!$R$94),"")</f>
        <v/>
      </c>
      <c r="W135" s="43" t="str">
        <f>IF(AND('Mapa final'!$AB$95="Media",'Mapa final'!$AD$95="Catastrófico"),CONCATENATE("R30C",'Mapa final'!$R$95),"")</f>
        <v/>
      </c>
      <c r="X135" s="97" t="str">
        <f>IF(AND('Mapa final'!$AB$96="Media",'Mapa final'!$AD$96="Catastrófico"),CONCATENATE("R30C",'Mapa final'!$R$96),"")</f>
        <v/>
      </c>
      <c r="Y135" s="55"/>
      <c r="Z135" s="327"/>
      <c r="AA135" s="328"/>
      <c r="AB135" s="328"/>
      <c r="AC135" s="328"/>
      <c r="AD135" s="328"/>
      <c r="AE135" s="329"/>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row>
    <row r="136" spans="1:61" ht="15" customHeight="1" x14ac:dyDescent="0.25">
      <c r="A136" s="55"/>
      <c r="B136" s="316"/>
      <c r="C136" s="316"/>
      <c r="D136" s="317"/>
      <c r="E136" s="306"/>
      <c r="F136" s="305"/>
      <c r="G136" s="305"/>
      <c r="H136" s="305"/>
      <c r="I136" s="305"/>
      <c r="J136" s="48" t="str">
        <f>IF(AND('Mapa final'!$AB$97="Media",'Mapa final'!$AD$97="Leve"),CONCATENATE("R31C",'Mapa final'!$R$97),"")</f>
        <v/>
      </c>
      <c r="K136" s="49" t="str">
        <f>IF(AND('Mapa final'!$AB$98="Media",'Mapa final'!$AD$98="Leve"),CONCATENATE("R31C",'Mapa final'!$R$98),"")</f>
        <v/>
      </c>
      <c r="L136" s="108" t="str">
        <f>IF(AND('Mapa final'!$AB$99="Media",'Mapa final'!$AD$99="Leve"),CONCATENATE("R31C",'Mapa final'!$R$99),"")</f>
        <v/>
      </c>
      <c r="M136" s="48" t="str">
        <f>IF(AND('Mapa final'!$AB$97="Media",'Mapa final'!$AD$97="Menor"),CONCATENATE("R31C",'Mapa final'!$R$97),"")</f>
        <v/>
      </c>
      <c r="N136" s="49" t="str">
        <f>IF(AND('Mapa final'!$AB$98="Media",'Mapa final'!$AD$98="Menor"),CONCATENATE("R31C",'Mapa final'!$R$98),"")</f>
        <v/>
      </c>
      <c r="O136" s="108" t="str">
        <f>IF(AND('Mapa final'!$AB$99="Media",'Mapa final'!$AD$99="Menor"),CONCATENATE("R31C",'Mapa final'!$R$99),"")</f>
        <v/>
      </c>
      <c r="P136" s="48" t="str">
        <f>IF(AND('Mapa final'!$AB$97="Media",'Mapa final'!$AD$97="Moderado"),CONCATENATE("R31C",'Mapa final'!$R$97),"")</f>
        <v/>
      </c>
      <c r="Q136" s="49" t="str">
        <f>IF(AND('Mapa final'!$AB$98="Media",'Mapa final'!$AD$98="Moderado"),CONCATENATE("R31C",'Mapa final'!$R$98),"")</f>
        <v/>
      </c>
      <c r="R136" s="108" t="str">
        <f>IF(AND('Mapa final'!$AB$99="Media",'Mapa final'!$AD$99="Moderado"),CONCATENATE("R31C",'Mapa final'!$R$99),"")</f>
        <v/>
      </c>
      <c r="S136" s="102" t="str">
        <f>IF(AND('Mapa final'!$AB$97="Media",'Mapa final'!$AD$97="Mayor"),CONCATENATE("R31C",'Mapa final'!$R$97),"")</f>
        <v/>
      </c>
      <c r="T136" s="41" t="str">
        <f>IF(AND('Mapa final'!$AB$98="Media",'Mapa final'!$AD$98="Mayor"),CONCATENATE("R31C",'Mapa final'!$R$98),"")</f>
        <v/>
      </c>
      <c r="U136" s="103" t="str">
        <f>IF(AND('Mapa final'!$AB$99="Media",'Mapa final'!$AD$99="Mayor"),CONCATENATE("R31C",'Mapa final'!$R$99),"")</f>
        <v/>
      </c>
      <c r="V136" s="42" t="str">
        <f>IF(AND('Mapa final'!$AB$97="Media",'Mapa final'!$AD$97="Catastrófico"),CONCATENATE("R31C",'Mapa final'!$R$97),"")</f>
        <v/>
      </c>
      <c r="W136" s="43" t="str">
        <f>IF(AND('Mapa final'!$AB$98="Media",'Mapa final'!$AD$98="Catastrófico"),CONCATENATE("R31C",'Mapa final'!$R$98),"")</f>
        <v/>
      </c>
      <c r="X136" s="97" t="str">
        <f>IF(AND('Mapa final'!$AB$99="Media",'Mapa final'!$AD$99="Catastrófico"),CONCATENATE("R31C",'Mapa final'!$R$99),"")</f>
        <v/>
      </c>
      <c r="Y136" s="55"/>
      <c r="Z136" s="327"/>
      <c r="AA136" s="328"/>
      <c r="AB136" s="328"/>
      <c r="AC136" s="328"/>
      <c r="AD136" s="328"/>
      <c r="AE136" s="329"/>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row>
    <row r="137" spans="1:61" ht="15" customHeight="1" x14ac:dyDescent="0.25">
      <c r="A137" s="55"/>
      <c r="B137" s="316"/>
      <c r="C137" s="316"/>
      <c r="D137" s="317"/>
      <c r="E137" s="306"/>
      <c r="F137" s="305"/>
      <c r="G137" s="305"/>
      <c r="H137" s="305"/>
      <c r="I137" s="305"/>
      <c r="J137" s="48" t="e">
        <f>IF(AND('Mapa final'!#REF!="Media",'Mapa final'!#REF!="Leve"),CONCATENATE("R32C",'Mapa final'!#REF!),"")</f>
        <v>#REF!</v>
      </c>
      <c r="K137" s="49" t="e">
        <f>IF(AND('Mapa final'!#REF!="Media",'Mapa final'!#REF!="Leve"),CONCATENATE("R32C",'Mapa final'!#REF!),"")</f>
        <v>#REF!</v>
      </c>
      <c r="L137" s="108" t="e">
        <f>IF(AND('Mapa final'!#REF!="Media",'Mapa final'!#REF!="Leve"),CONCATENATE("R32C",'Mapa final'!#REF!),"")</f>
        <v>#REF!</v>
      </c>
      <c r="M137" s="48" t="e">
        <f>IF(AND('Mapa final'!#REF!="Media",'Mapa final'!#REF!="Menor"),CONCATENATE("R32C",'Mapa final'!#REF!),"")</f>
        <v>#REF!</v>
      </c>
      <c r="N137" s="49" t="e">
        <f>IF(AND('Mapa final'!#REF!="Media",'Mapa final'!#REF!="Menor"),CONCATENATE("R32C",'Mapa final'!#REF!),"")</f>
        <v>#REF!</v>
      </c>
      <c r="O137" s="108" t="e">
        <f>IF(AND('Mapa final'!#REF!="Media",'Mapa final'!#REF!="Menor"),CONCATENATE("R32C",'Mapa final'!#REF!),"")</f>
        <v>#REF!</v>
      </c>
      <c r="P137" s="48" t="e">
        <f>IF(AND('Mapa final'!#REF!="Media",'Mapa final'!#REF!="Moderado"),CONCATENATE("R32C",'Mapa final'!#REF!),"")</f>
        <v>#REF!</v>
      </c>
      <c r="Q137" s="49" t="e">
        <f>IF(AND('Mapa final'!#REF!="Media",'Mapa final'!#REF!="Moderado"),CONCATENATE("R32C",'Mapa final'!#REF!),"")</f>
        <v>#REF!</v>
      </c>
      <c r="R137" s="108" t="e">
        <f>IF(AND('Mapa final'!#REF!="Media",'Mapa final'!#REF!="Moderado"),CONCATENATE("R32C",'Mapa final'!#REF!),"")</f>
        <v>#REF!</v>
      </c>
      <c r="S137" s="102" t="e">
        <f>IF(AND('Mapa final'!#REF!="Media",'Mapa final'!#REF!="Mayor"),CONCATENATE("R32C",'Mapa final'!#REF!),"")</f>
        <v>#REF!</v>
      </c>
      <c r="T137" s="41" t="e">
        <f>IF(AND('Mapa final'!#REF!="Media",'Mapa final'!#REF!="Mayor"),CONCATENATE("R32C",'Mapa final'!#REF!),"")</f>
        <v>#REF!</v>
      </c>
      <c r="U137" s="103" t="e">
        <f>IF(AND('Mapa final'!#REF!="Media",'Mapa final'!#REF!="Mayor"),CONCATENATE("R32C",'Mapa final'!#REF!),"")</f>
        <v>#REF!</v>
      </c>
      <c r="V137" s="42" t="e">
        <f>IF(AND('Mapa final'!#REF!="Media",'Mapa final'!#REF!="Catastrófico"),CONCATENATE("R32C",'Mapa final'!#REF!),"")</f>
        <v>#REF!</v>
      </c>
      <c r="W137" s="43" t="e">
        <f>IF(AND('Mapa final'!#REF!="Media",'Mapa final'!#REF!="Catastrófico"),CONCATENATE("R32C",'Mapa final'!#REF!),"")</f>
        <v>#REF!</v>
      </c>
      <c r="X137" s="97" t="e">
        <f>IF(AND('Mapa final'!#REF!="Media",'Mapa final'!#REF!="Catastrófico"),CONCATENATE("R32C",'Mapa final'!#REF!),"")</f>
        <v>#REF!</v>
      </c>
      <c r="Y137" s="55"/>
      <c r="Z137" s="327"/>
      <c r="AA137" s="328"/>
      <c r="AB137" s="328"/>
      <c r="AC137" s="328"/>
      <c r="AD137" s="328"/>
      <c r="AE137" s="329"/>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row>
    <row r="138" spans="1:61" ht="15" customHeight="1" x14ac:dyDescent="0.25">
      <c r="A138" s="55"/>
      <c r="B138" s="316"/>
      <c r="C138" s="316"/>
      <c r="D138" s="317"/>
      <c r="E138" s="306"/>
      <c r="F138" s="305"/>
      <c r="G138" s="305"/>
      <c r="H138" s="305"/>
      <c r="I138" s="305"/>
      <c r="J138" s="48" t="str">
        <f>IF(AND('Mapa final'!$AB$100="Media",'Mapa final'!$AD$100="Leve"),CONCATENATE("R33C",'Mapa final'!$R$100),"")</f>
        <v/>
      </c>
      <c r="K138" s="49" t="str">
        <f>IF(AND('Mapa final'!$AB$101="Media",'Mapa final'!$AD$101="Leve"),CONCATENATE("R33C",'Mapa final'!$R$101),"")</f>
        <v/>
      </c>
      <c r="L138" s="108" t="str">
        <f>IF(AND('Mapa final'!$AB$102="Media",'Mapa final'!$AD$102="Leve"),CONCATENATE("R33C",'Mapa final'!$R$102),"")</f>
        <v/>
      </c>
      <c r="M138" s="48" t="str">
        <f>IF(AND('Mapa final'!$AB$100="Media",'Mapa final'!$AD$100="Menor"),CONCATENATE("R33C",'Mapa final'!$R$100),"")</f>
        <v/>
      </c>
      <c r="N138" s="49" t="str">
        <f>IF(AND('Mapa final'!$AB$101="Media",'Mapa final'!$AD$101="Menor"),CONCATENATE("R33C",'Mapa final'!$R$101),"")</f>
        <v/>
      </c>
      <c r="O138" s="108" t="str">
        <f>IF(AND('Mapa final'!$AB$102="Media",'Mapa final'!$AD$102="Menor"),CONCATENATE("R33C",'Mapa final'!$R$102),"")</f>
        <v/>
      </c>
      <c r="P138" s="48" t="str">
        <f>IF(AND('Mapa final'!$AB$100="Media",'Mapa final'!$AD$100="Moderado"),CONCATENATE("R33C",'Mapa final'!$R$100),"")</f>
        <v>R33C1</v>
      </c>
      <c r="Q138" s="49" t="str">
        <f>IF(AND('Mapa final'!$AB$101="Media",'Mapa final'!$AD$101="Moderado"),CONCATENATE("R33C",'Mapa final'!$R$101),"")</f>
        <v/>
      </c>
      <c r="R138" s="108" t="str">
        <f>IF(AND('Mapa final'!$AB$102="Media",'Mapa final'!$AD$102="Moderado"),CONCATENATE("R33C",'Mapa final'!$R$102),"")</f>
        <v/>
      </c>
      <c r="S138" s="102" t="str">
        <f>IF(AND('Mapa final'!$AB$100="Media",'Mapa final'!$AD$100="Mayor"),CONCATENATE("R33C",'Mapa final'!$R$100),"")</f>
        <v/>
      </c>
      <c r="T138" s="41" t="str">
        <f>IF(AND('Mapa final'!$AB$101="Media",'Mapa final'!$AD$101="Mayor"),CONCATENATE("R33C",'Mapa final'!$R$101),"")</f>
        <v/>
      </c>
      <c r="U138" s="103" t="str">
        <f>IF(AND('Mapa final'!$AB$102="Media",'Mapa final'!$AD$102="Mayor"),CONCATENATE("R33C",'Mapa final'!$R$102),"")</f>
        <v/>
      </c>
      <c r="V138" s="42" t="str">
        <f>IF(AND('Mapa final'!$AB$100="Media",'Mapa final'!$AD$100="Catastrófico"),CONCATENATE("R33C",'Mapa final'!$R$100),"")</f>
        <v/>
      </c>
      <c r="W138" s="43" t="str">
        <f>IF(AND('Mapa final'!$AB$101="Media",'Mapa final'!$AD$101="Catastrófico"),CONCATENATE("R33C",'Mapa final'!$R$101),"")</f>
        <v/>
      </c>
      <c r="X138" s="97" t="str">
        <f>IF(AND('Mapa final'!$AB$102="Media",'Mapa final'!$AD$102="Catastrófico"),CONCATENATE("R33C",'Mapa final'!$R$102),"")</f>
        <v/>
      </c>
      <c r="Y138" s="55"/>
      <c r="Z138" s="327"/>
      <c r="AA138" s="328"/>
      <c r="AB138" s="328"/>
      <c r="AC138" s="328"/>
      <c r="AD138" s="328"/>
      <c r="AE138" s="329"/>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row>
    <row r="139" spans="1:61" ht="15" customHeight="1" x14ac:dyDescent="0.25">
      <c r="A139" s="55"/>
      <c r="B139" s="316"/>
      <c r="C139" s="316"/>
      <c r="D139" s="317"/>
      <c r="E139" s="306"/>
      <c r="F139" s="305"/>
      <c r="G139" s="305"/>
      <c r="H139" s="305"/>
      <c r="I139" s="305"/>
      <c r="J139" s="48" t="str">
        <f>IF(AND('Mapa final'!$AB$103="Media",'Mapa final'!$AD$103="Leve"),CONCATENATE("R34C",'Mapa final'!$R$103),"")</f>
        <v/>
      </c>
      <c r="K139" s="49" t="str">
        <f>IF(AND('Mapa final'!$AB$104="Media",'Mapa final'!$AD$104="Leve"),CONCATENATE("R34C",'Mapa final'!$R$104),"")</f>
        <v/>
      </c>
      <c r="L139" s="108" t="str">
        <f>IF(AND('Mapa final'!$AB$105="Media",'Mapa final'!$AD$105="Leve"),CONCATENATE("R34C",'Mapa final'!$R$105),"")</f>
        <v/>
      </c>
      <c r="M139" s="48" t="str">
        <f>IF(AND('Mapa final'!$AB$103="Media",'Mapa final'!$AD$103="Menor"),CONCATENATE("R34C",'Mapa final'!$R$103),"")</f>
        <v/>
      </c>
      <c r="N139" s="49" t="str">
        <f>IF(AND('Mapa final'!$AB$104="Media",'Mapa final'!$AD$104="Menor"),CONCATENATE("R34C",'Mapa final'!$R$104),"")</f>
        <v/>
      </c>
      <c r="O139" s="108" t="str">
        <f>IF(AND('Mapa final'!$AB$105="Media",'Mapa final'!$AD$105="Menor"),CONCATENATE("R34C",'Mapa final'!$R$105),"")</f>
        <v/>
      </c>
      <c r="P139" s="48" t="str">
        <f>IF(AND('Mapa final'!$AB$103="Media",'Mapa final'!$AD$103="Moderado"),CONCATENATE("R34C",'Mapa final'!$R$103),"")</f>
        <v>R34C1</v>
      </c>
      <c r="Q139" s="49" t="str">
        <f>IF(AND('Mapa final'!$AB$104="Media",'Mapa final'!$AD$104="Moderado"),CONCATENATE("R34C",'Mapa final'!$R$104),"")</f>
        <v/>
      </c>
      <c r="R139" s="108" t="str">
        <f>IF(AND('Mapa final'!$AB$105="Media",'Mapa final'!$AD$105="Moderado"),CONCATENATE("R34C",'Mapa final'!$R$105),"")</f>
        <v/>
      </c>
      <c r="S139" s="102" t="str">
        <f>IF(AND('Mapa final'!$AB$103="Media",'Mapa final'!$AD$103="Mayor"),CONCATENATE("R34C",'Mapa final'!$R$103),"")</f>
        <v/>
      </c>
      <c r="T139" s="41" t="str">
        <f>IF(AND('Mapa final'!$AB$104="Media",'Mapa final'!$AD$104="Mayor"),CONCATENATE("R34C",'Mapa final'!$R$104),"")</f>
        <v/>
      </c>
      <c r="U139" s="103" t="str">
        <f>IF(AND('Mapa final'!$AB$105="Media",'Mapa final'!$AD$105="Mayor"),CONCATENATE("R34C",'Mapa final'!$R$105),"")</f>
        <v/>
      </c>
      <c r="V139" s="42" t="str">
        <f>IF(AND('Mapa final'!$AB$103="Media",'Mapa final'!$AD$103="Catastrófico"),CONCATENATE("R34C",'Mapa final'!$R$103),"")</f>
        <v/>
      </c>
      <c r="W139" s="43" t="str">
        <f>IF(AND('Mapa final'!$AB$104="Media",'Mapa final'!$AD$104="Catastrófico"),CONCATENATE("R34C",'Mapa final'!$R$104),"")</f>
        <v/>
      </c>
      <c r="X139" s="97" t="str">
        <f>IF(AND('Mapa final'!$AB$105="Media",'Mapa final'!$AD$105="Catastrófico"),CONCATENATE("R34C",'Mapa final'!$R$105),"")</f>
        <v/>
      </c>
      <c r="Y139" s="55"/>
      <c r="Z139" s="327"/>
      <c r="AA139" s="328"/>
      <c r="AB139" s="328"/>
      <c r="AC139" s="328"/>
      <c r="AD139" s="328"/>
      <c r="AE139" s="329"/>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c r="BI139" s="55"/>
    </row>
    <row r="140" spans="1:61" ht="15" customHeight="1" x14ac:dyDescent="0.25">
      <c r="A140" s="55"/>
      <c r="B140" s="316"/>
      <c r="C140" s="316"/>
      <c r="D140" s="317"/>
      <c r="E140" s="306"/>
      <c r="F140" s="305"/>
      <c r="G140" s="305"/>
      <c r="H140" s="305"/>
      <c r="I140" s="305"/>
      <c r="J140" s="48" t="str">
        <f>IF(AND('Mapa final'!$AB$106="Media",'Mapa final'!$AD$106="Leve"),CONCATENATE("R35C",'Mapa final'!$R$106),"")</f>
        <v/>
      </c>
      <c r="K140" s="49" t="str">
        <f>IF(AND('Mapa final'!$AB$107="Media",'Mapa final'!$AD$107="Leve"),CONCATENATE("R35C",'Mapa final'!$R$107),"")</f>
        <v/>
      </c>
      <c r="L140" s="108" t="str">
        <f>IF(AND('Mapa final'!$AB$108="Media",'Mapa final'!$AD$108="Leve"),CONCATENATE("R35C",'Mapa final'!$R$108),"")</f>
        <v/>
      </c>
      <c r="M140" s="48" t="str">
        <f>IF(AND('Mapa final'!$AB$106="Media",'Mapa final'!$AD$106="Menor"),CONCATENATE("R35C",'Mapa final'!$R$106),"")</f>
        <v/>
      </c>
      <c r="N140" s="49" t="str">
        <f>IF(AND('Mapa final'!$AB$107="Media",'Mapa final'!$AD$107="Menor"),CONCATENATE("R35C",'Mapa final'!$R$107),"")</f>
        <v/>
      </c>
      <c r="O140" s="108" t="str">
        <f>IF(AND('Mapa final'!$AB$108="Media",'Mapa final'!$AD$108="Menor"),CONCATENATE("R35C",'Mapa final'!$R$108),"")</f>
        <v/>
      </c>
      <c r="P140" s="48" t="str">
        <f>IF(AND('Mapa final'!$AB$106="Media",'Mapa final'!$AD$106="Moderado"),CONCATENATE("R35C",'Mapa final'!$R$106),"")</f>
        <v/>
      </c>
      <c r="Q140" s="49" t="str">
        <f>IF(AND('Mapa final'!$AB$107="Media",'Mapa final'!$AD$107="Moderado"),CONCATENATE("R35C",'Mapa final'!$R$107),"")</f>
        <v/>
      </c>
      <c r="R140" s="108" t="str">
        <f>IF(AND('Mapa final'!$AB$108="Media",'Mapa final'!$AD$108="Moderado"),CONCATENATE("R35C",'Mapa final'!$R$108),"")</f>
        <v/>
      </c>
      <c r="S140" s="102" t="str">
        <f>IF(AND('Mapa final'!$AB$106="Media",'Mapa final'!$AD$106="Mayor"),CONCATENATE("R35C",'Mapa final'!$R$106),"")</f>
        <v/>
      </c>
      <c r="T140" s="41" t="str">
        <f>IF(AND('Mapa final'!$AB$107="Media",'Mapa final'!$AD$107="Mayor"),CONCATENATE("R35C",'Mapa final'!$R$107),"")</f>
        <v/>
      </c>
      <c r="U140" s="103" t="str">
        <f>IF(AND('Mapa final'!$AB$108="Media",'Mapa final'!$AD$108="Mayor"),CONCATENATE("R35C",'Mapa final'!$R$108),"")</f>
        <v/>
      </c>
      <c r="V140" s="42" t="str">
        <f>IF(AND('Mapa final'!$AB$106="Media",'Mapa final'!$AD$106="Catastrófico"),CONCATENATE("R35C",'Mapa final'!$R$106),"")</f>
        <v/>
      </c>
      <c r="W140" s="43" t="str">
        <f>IF(AND('Mapa final'!$AB$107="Media",'Mapa final'!$AD$107="Catastrófico"),CONCATENATE("R35C",'Mapa final'!$R$107),"")</f>
        <v/>
      </c>
      <c r="X140" s="97" t="str">
        <f>IF(AND('Mapa final'!$AB$108="Media",'Mapa final'!$AD$108="Catastrófico"),CONCATENATE("R35C",'Mapa final'!$R$108),"")</f>
        <v/>
      </c>
      <c r="Y140" s="55"/>
      <c r="Z140" s="327"/>
      <c r="AA140" s="328"/>
      <c r="AB140" s="328"/>
      <c r="AC140" s="328"/>
      <c r="AD140" s="328"/>
      <c r="AE140" s="329"/>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row>
    <row r="141" spans="1:61" ht="15" customHeight="1" x14ac:dyDescent="0.25">
      <c r="A141" s="55"/>
      <c r="B141" s="316"/>
      <c r="C141" s="316"/>
      <c r="D141" s="317"/>
      <c r="E141" s="306"/>
      <c r="F141" s="305"/>
      <c r="G141" s="305"/>
      <c r="H141" s="305"/>
      <c r="I141" s="305"/>
      <c r="J141" s="48" t="str">
        <f>IF(AND('Mapa final'!$AB$109="Media",'Mapa final'!$AD$109="Leve"),CONCATENATE("R36C",'Mapa final'!$R$109),"")</f>
        <v/>
      </c>
      <c r="K141" s="49" t="str">
        <f>IF(AND('Mapa final'!$AB$110="Media",'Mapa final'!$AD$110="Leve"),CONCATENATE("R36C",'Mapa final'!$R$110),"")</f>
        <v/>
      </c>
      <c r="L141" s="108" t="str">
        <f>IF(AND('Mapa final'!$AB$111="Media",'Mapa final'!$AD$111="Leve"),CONCATENATE("R36C",'Mapa final'!$R$111),"")</f>
        <v/>
      </c>
      <c r="M141" s="48" t="str">
        <f>IF(AND('Mapa final'!$AB$109="Media",'Mapa final'!$AD$109="Menor"),CONCATENATE("R36C",'Mapa final'!$R$109),"")</f>
        <v/>
      </c>
      <c r="N141" s="49" t="str">
        <f>IF(AND('Mapa final'!$AB$110="Media",'Mapa final'!$AD$110="Menor"),CONCATENATE("R36C",'Mapa final'!$R$110),"")</f>
        <v/>
      </c>
      <c r="O141" s="108" t="str">
        <f>IF(AND('Mapa final'!$AB$111="Media",'Mapa final'!$AD$111="Menor"),CONCATENATE("R36C",'Mapa final'!$R$111),"")</f>
        <v/>
      </c>
      <c r="P141" s="48" t="str">
        <f>IF(AND('Mapa final'!$AB$109="Media",'Mapa final'!$AD$109="Moderado"),CONCATENATE("R36C",'Mapa final'!$R$109),"")</f>
        <v/>
      </c>
      <c r="Q141" s="49" t="str">
        <f>IF(AND('Mapa final'!$AB$110="Media",'Mapa final'!$AD$110="Moderado"),CONCATENATE("R36C",'Mapa final'!$R$110),"")</f>
        <v/>
      </c>
      <c r="R141" s="108" t="str">
        <f>IF(AND('Mapa final'!$AB$111="Media",'Mapa final'!$AD$111="Moderado"),CONCATENATE("R36C",'Mapa final'!$R$111),"")</f>
        <v/>
      </c>
      <c r="S141" s="102" t="str">
        <f>IF(AND('Mapa final'!$AB$109="Media",'Mapa final'!$AD$109="Mayor"),CONCATENATE("R36C",'Mapa final'!$R$109),"")</f>
        <v/>
      </c>
      <c r="T141" s="41" t="str">
        <f>IF(AND('Mapa final'!$AB$110="Media",'Mapa final'!$AD$110="Mayor"),CONCATENATE("R36C",'Mapa final'!$R$110),"")</f>
        <v/>
      </c>
      <c r="U141" s="103" t="str">
        <f>IF(AND('Mapa final'!$AB$111="Media",'Mapa final'!$AD$111="Mayor"),CONCATENATE("R36C",'Mapa final'!$R$111),"")</f>
        <v/>
      </c>
      <c r="V141" s="42" t="str">
        <f>IF(AND('Mapa final'!$AB$109="Media",'Mapa final'!$AD$109="Catastrófico"),CONCATENATE("R36C",'Mapa final'!$R$109),"")</f>
        <v/>
      </c>
      <c r="W141" s="43" t="str">
        <f>IF(AND('Mapa final'!$AB$110="Media",'Mapa final'!$AD$110="Catastrófico"),CONCATENATE("R36C",'Mapa final'!$R$110),"")</f>
        <v/>
      </c>
      <c r="X141" s="97" t="str">
        <f>IF(AND('Mapa final'!$AB$111="Media",'Mapa final'!$AD$111="Catastrófico"),CONCATENATE("R36C",'Mapa final'!$R$111),"")</f>
        <v/>
      </c>
      <c r="Y141" s="55"/>
      <c r="Z141" s="327"/>
      <c r="AA141" s="328"/>
      <c r="AB141" s="328"/>
      <c r="AC141" s="328"/>
      <c r="AD141" s="328"/>
      <c r="AE141" s="329"/>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row>
    <row r="142" spans="1:61" ht="15" customHeight="1" x14ac:dyDescent="0.25">
      <c r="A142" s="55"/>
      <c r="B142" s="316"/>
      <c r="C142" s="316"/>
      <c r="D142" s="317"/>
      <c r="E142" s="306"/>
      <c r="F142" s="305"/>
      <c r="G142" s="305"/>
      <c r="H142" s="305"/>
      <c r="I142" s="305"/>
      <c r="J142" s="48" t="str">
        <f>IF(AND('Mapa final'!$AB$112="Media",'Mapa final'!$AD$112="Leve"),CONCATENATE("R37C",'Mapa final'!$R$112),"")</f>
        <v/>
      </c>
      <c r="K142" s="49" t="str">
        <f>IF(AND('Mapa final'!$AB$113="Media",'Mapa final'!$AD$113="Leve"),CONCATENATE("R37C",'Mapa final'!$R$113),"")</f>
        <v/>
      </c>
      <c r="L142" s="108" t="str">
        <f>IF(AND('Mapa final'!$AB$114="Media",'Mapa final'!$AD$114="Leve"),CONCATENATE("R37C",'Mapa final'!$R$114),"")</f>
        <v/>
      </c>
      <c r="M142" s="48" t="str">
        <f>IF(AND('Mapa final'!$AB$112="Media",'Mapa final'!$AD$112="Menor"),CONCATENATE("R37C",'Mapa final'!$R$112),"")</f>
        <v/>
      </c>
      <c r="N142" s="49" t="str">
        <f>IF(AND('Mapa final'!$AB$113="Media",'Mapa final'!$AD$113="Menor"),CONCATENATE("R37C",'Mapa final'!$R$113),"")</f>
        <v/>
      </c>
      <c r="O142" s="108" t="str">
        <f>IF(AND('Mapa final'!$AB$114="Media",'Mapa final'!$AD$114="Menor"),CONCATENATE("R37C",'Mapa final'!$R$114),"")</f>
        <v/>
      </c>
      <c r="P142" s="48" t="str">
        <f>IF(AND('Mapa final'!$AB$112="Media",'Mapa final'!$AD$112="Moderado"),CONCATENATE("R37C",'Mapa final'!$R$112),"")</f>
        <v/>
      </c>
      <c r="Q142" s="49" t="str">
        <f>IF(AND('Mapa final'!$AB$113="Media",'Mapa final'!$AD$113="Moderado"),CONCATENATE("R37C",'Mapa final'!$R$113),"")</f>
        <v/>
      </c>
      <c r="R142" s="108" t="str">
        <f>IF(AND('Mapa final'!$AB$114="Media",'Mapa final'!$AD$114="Moderado"),CONCATENATE("R37C",'Mapa final'!$R$114),"")</f>
        <v/>
      </c>
      <c r="S142" s="102" t="str">
        <f>IF(AND('Mapa final'!$AB$112="Media",'Mapa final'!$AD$112="Mayor"),CONCATENATE("R37C",'Mapa final'!$R$112),"")</f>
        <v/>
      </c>
      <c r="T142" s="41" t="str">
        <f>IF(AND('Mapa final'!$AB$113="Media",'Mapa final'!$AD$113="Mayor"),CONCATENATE("R37C",'Mapa final'!$R$113),"")</f>
        <v/>
      </c>
      <c r="U142" s="103" t="str">
        <f>IF(AND('Mapa final'!$AB$114="Media",'Mapa final'!$AD$114="Mayor"),CONCATENATE("R37C",'Mapa final'!$R$114),"")</f>
        <v/>
      </c>
      <c r="V142" s="42" t="str">
        <f>IF(AND('Mapa final'!$AB$112="Media",'Mapa final'!$AD$112="Catastrófico"),CONCATENATE("R37C",'Mapa final'!$R$112),"")</f>
        <v/>
      </c>
      <c r="W142" s="43" t="str">
        <f>IF(AND('Mapa final'!$AB$113="Media",'Mapa final'!$AD$113="Catastrófico"),CONCATENATE("R37C",'Mapa final'!$R$113),"")</f>
        <v/>
      </c>
      <c r="X142" s="97" t="str">
        <f>IF(AND('Mapa final'!$AB$114="Media",'Mapa final'!$AD$114="Catastrófico"),CONCATENATE("R37C",'Mapa final'!$R$114),"")</f>
        <v/>
      </c>
      <c r="Y142" s="55"/>
      <c r="Z142" s="327"/>
      <c r="AA142" s="328"/>
      <c r="AB142" s="328"/>
      <c r="AC142" s="328"/>
      <c r="AD142" s="328"/>
      <c r="AE142" s="329"/>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row>
    <row r="143" spans="1:61" ht="15" customHeight="1" x14ac:dyDescent="0.25">
      <c r="A143" s="55"/>
      <c r="B143" s="316"/>
      <c r="C143" s="316"/>
      <c r="D143" s="317"/>
      <c r="E143" s="306"/>
      <c r="F143" s="305"/>
      <c r="G143" s="305"/>
      <c r="H143" s="305"/>
      <c r="I143" s="305"/>
      <c r="J143" s="48" t="str">
        <f>IF(AND('Mapa final'!$AB$115="Media",'Mapa final'!$AD$115="Leve"),CONCATENATE("R38C",'Mapa final'!$R$115),"")</f>
        <v/>
      </c>
      <c r="K143" s="49" t="str">
        <f>IF(AND('Mapa final'!$AB$116="Media",'Mapa final'!$AD$116="Leve"),CONCATENATE("R38C",'Mapa final'!$R$116),"")</f>
        <v/>
      </c>
      <c r="L143" s="108" t="str">
        <f>IF(AND('Mapa final'!$AB$117="Media",'Mapa final'!$AD$117="Leve"),CONCATENATE("R38C",'Mapa final'!$R$117),"")</f>
        <v/>
      </c>
      <c r="M143" s="48" t="str">
        <f>IF(AND('Mapa final'!$AB$115="Media",'Mapa final'!$AD$115="Menor"),CONCATENATE("R38C",'Mapa final'!$R$115),"")</f>
        <v/>
      </c>
      <c r="N143" s="49" t="str">
        <f>IF(AND('Mapa final'!$AB$116="Media",'Mapa final'!$AD$116="Menor"),CONCATENATE("R38C",'Mapa final'!$R$116),"")</f>
        <v/>
      </c>
      <c r="O143" s="108" t="str">
        <f>IF(AND('Mapa final'!$AB$117="Media",'Mapa final'!$AD$117="Menor"),CONCATENATE("R38C",'Mapa final'!$R$117),"")</f>
        <v/>
      </c>
      <c r="P143" s="48" t="str">
        <f>IF(AND('Mapa final'!$AB$115="Media",'Mapa final'!$AD$115="Moderado"),CONCATENATE("R38C",'Mapa final'!$R$115),"")</f>
        <v/>
      </c>
      <c r="Q143" s="49" t="str">
        <f>IF(AND('Mapa final'!$AB$116="Media",'Mapa final'!$AD$116="Moderado"),CONCATENATE("R38C",'Mapa final'!$R$116),"")</f>
        <v/>
      </c>
      <c r="R143" s="108" t="str">
        <f>IF(AND('Mapa final'!$AB$117="Media",'Mapa final'!$AD$117="Moderado"),CONCATENATE("R38C",'Mapa final'!$R$117),"")</f>
        <v/>
      </c>
      <c r="S143" s="102" t="str">
        <f>IF(AND('Mapa final'!$AB$115="Media",'Mapa final'!$AD$115="Mayor"),CONCATENATE("R38C",'Mapa final'!$R$115),"")</f>
        <v/>
      </c>
      <c r="T143" s="41" t="str">
        <f>IF(AND('Mapa final'!$AB$116="Media",'Mapa final'!$AD$116="Mayor"),CONCATENATE("R38C",'Mapa final'!$R$116),"")</f>
        <v/>
      </c>
      <c r="U143" s="103" t="str">
        <f>IF(AND('Mapa final'!$AB$117="Media",'Mapa final'!$AD$117="Mayor"),CONCATENATE("R38C",'Mapa final'!$R$117),"")</f>
        <v/>
      </c>
      <c r="V143" s="42" t="str">
        <f>IF(AND('Mapa final'!$AB$115="Media",'Mapa final'!$AD$115="Catastrófico"),CONCATENATE("R38C",'Mapa final'!$R$115),"")</f>
        <v/>
      </c>
      <c r="W143" s="43" t="str">
        <f>IF(AND('Mapa final'!$AB$116="Media",'Mapa final'!$AD$116="Catastrófico"),CONCATENATE("R38C",'Mapa final'!$R$116),"")</f>
        <v/>
      </c>
      <c r="X143" s="97" t="str">
        <f>IF(AND('Mapa final'!$AB$117="Media",'Mapa final'!$AD$117="Catastrófico"),CONCATENATE("R38C",'Mapa final'!$R$117),"")</f>
        <v/>
      </c>
      <c r="Y143" s="55"/>
      <c r="Z143" s="327"/>
      <c r="AA143" s="328"/>
      <c r="AB143" s="328"/>
      <c r="AC143" s="328"/>
      <c r="AD143" s="328"/>
      <c r="AE143" s="329"/>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row>
    <row r="144" spans="1:61" ht="15" customHeight="1" x14ac:dyDescent="0.25">
      <c r="A144" s="55"/>
      <c r="B144" s="316"/>
      <c r="C144" s="316"/>
      <c r="D144" s="317"/>
      <c r="E144" s="306"/>
      <c r="F144" s="305"/>
      <c r="G144" s="305"/>
      <c r="H144" s="305"/>
      <c r="I144" s="305"/>
      <c r="J144" s="48" t="str">
        <f>IF(AND('Mapa final'!$AB$118="Media",'Mapa final'!$AD$118="Leve"),CONCATENATE("R39C",'Mapa final'!$R$118),"")</f>
        <v/>
      </c>
      <c r="K144" s="49" t="str">
        <f>IF(AND('Mapa final'!$AB$119="Media",'Mapa final'!$AD$119="Leve"),CONCATENATE("R39C",'Mapa final'!$R$119),"")</f>
        <v/>
      </c>
      <c r="L144" s="108" t="str">
        <f>IF(AND('Mapa final'!$AB$120="Media",'Mapa final'!$AD$120="Leve"),CONCATENATE("R39C",'Mapa final'!$R$120),"")</f>
        <v/>
      </c>
      <c r="M144" s="48" t="str">
        <f>IF(AND('Mapa final'!$AB$118="Media",'Mapa final'!$AD$118="Menor"),CONCATENATE("R39C",'Mapa final'!$R$118),"")</f>
        <v/>
      </c>
      <c r="N144" s="49" t="str">
        <f>IF(AND('Mapa final'!$AB$119="Media",'Mapa final'!$AD$119="Menor"),CONCATENATE("R39C",'Mapa final'!$R$119),"")</f>
        <v/>
      </c>
      <c r="O144" s="108" t="str">
        <f>IF(AND('Mapa final'!$AB$120="Media",'Mapa final'!$AD$120="Menor"),CONCATENATE("R39C",'Mapa final'!$R$120),"")</f>
        <v/>
      </c>
      <c r="P144" s="48" t="str">
        <f>IF(AND('Mapa final'!$AB$118="Media",'Mapa final'!$AD$118="Moderado"),CONCATENATE("R39C",'Mapa final'!$R$118),"")</f>
        <v>R39C1</v>
      </c>
      <c r="Q144" s="49" t="str">
        <f>IF(AND('Mapa final'!$AB$119="Media",'Mapa final'!$AD$119="Moderado"),CONCATENATE("R39C",'Mapa final'!$R$119),"")</f>
        <v/>
      </c>
      <c r="R144" s="108" t="str">
        <f>IF(AND('Mapa final'!$AB$120="Media",'Mapa final'!$AD$120="Moderado"),CONCATENATE("R39C",'Mapa final'!$R$120),"")</f>
        <v/>
      </c>
      <c r="S144" s="102" t="str">
        <f>IF(AND('Mapa final'!$AB$118="Media",'Mapa final'!$AD$118="Mayor"),CONCATENATE("R39C",'Mapa final'!$R$118),"")</f>
        <v/>
      </c>
      <c r="T144" s="41" t="str">
        <f>IF(AND('Mapa final'!$AB$119="Media",'Mapa final'!$AD$119="Mayor"),CONCATENATE("R39C",'Mapa final'!$R$119),"")</f>
        <v/>
      </c>
      <c r="U144" s="103" t="str">
        <f>IF(AND('Mapa final'!$AB$120="Media",'Mapa final'!$AD$120="Mayor"),CONCATENATE("R39C",'Mapa final'!$R$120),"")</f>
        <v/>
      </c>
      <c r="V144" s="42" t="str">
        <f>IF(AND('Mapa final'!$AB$118="Media",'Mapa final'!$AD$118="Catastrófico"),CONCATENATE("R39C",'Mapa final'!$R$118),"")</f>
        <v/>
      </c>
      <c r="W144" s="43" t="str">
        <f>IF(AND('Mapa final'!$AB$119="Media",'Mapa final'!$AD$119="Catastrófico"),CONCATENATE("R39C",'Mapa final'!$R$119),"")</f>
        <v/>
      </c>
      <c r="X144" s="97" t="str">
        <f>IF(AND('Mapa final'!$AB$120="Media",'Mapa final'!$AD$120="Catastrófico"),CONCATENATE("R39C",'Mapa final'!$R$120),"")</f>
        <v/>
      </c>
      <c r="Y144" s="55"/>
      <c r="Z144" s="327"/>
      <c r="AA144" s="328"/>
      <c r="AB144" s="328"/>
      <c r="AC144" s="328"/>
      <c r="AD144" s="328"/>
      <c r="AE144" s="329"/>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row>
    <row r="145" spans="1:61" ht="15" customHeight="1" x14ac:dyDescent="0.25">
      <c r="A145" s="55"/>
      <c r="B145" s="316"/>
      <c r="C145" s="316"/>
      <c r="D145" s="317"/>
      <c r="E145" s="306"/>
      <c r="F145" s="305"/>
      <c r="G145" s="305"/>
      <c r="H145" s="305"/>
      <c r="I145" s="305"/>
      <c r="J145" s="48" t="str">
        <f>IF(AND('Mapa final'!$AB$121="Media",'Mapa final'!$AD$121="Leve"),CONCATENATE("R40C",'Mapa final'!$R$121),"")</f>
        <v/>
      </c>
      <c r="K145" s="49" t="str">
        <f>IF(AND('Mapa final'!$AB$122="Media",'Mapa final'!$AD$122="Leve"),CONCATENATE("R40C",'Mapa final'!$R$122),"")</f>
        <v/>
      </c>
      <c r="L145" s="108" t="str">
        <f>IF(AND('Mapa final'!$AB$123="Media",'Mapa final'!$AD$123="Leve"),CONCATENATE("R40C",'Mapa final'!$R$123),"")</f>
        <v/>
      </c>
      <c r="M145" s="48" t="str">
        <f>IF(AND('Mapa final'!$AB$121="Media",'Mapa final'!$AD$121="Menor"),CONCATENATE("R40C",'Mapa final'!$R$121),"")</f>
        <v/>
      </c>
      <c r="N145" s="49" t="str">
        <f>IF(AND('Mapa final'!$AB$122="Media",'Mapa final'!$AD$122="Menor"),CONCATENATE("R40C",'Mapa final'!$R$122),"")</f>
        <v/>
      </c>
      <c r="O145" s="108" t="str">
        <f>IF(AND('Mapa final'!$AB$123="Media",'Mapa final'!$AD$123="Menor"),CONCATENATE("R40C",'Mapa final'!$R$123),"")</f>
        <v/>
      </c>
      <c r="P145" s="48" t="str">
        <f>IF(AND('Mapa final'!$AB$121="Media",'Mapa final'!$AD$121="Moderado"),CONCATENATE("R40C",'Mapa final'!$R$121),"")</f>
        <v/>
      </c>
      <c r="Q145" s="49" t="str">
        <f>IF(AND('Mapa final'!$AB$122="Media",'Mapa final'!$AD$122="Moderado"),CONCATENATE("R40C",'Mapa final'!$R$122),"")</f>
        <v/>
      </c>
      <c r="R145" s="108" t="str">
        <f>IF(AND('Mapa final'!$AB$123="Media",'Mapa final'!$AD$123="Moderado"),CONCATENATE("R40C",'Mapa final'!$R$123),"")</f>
        <v/>
      </c>
      <c r="S145" s="102" t="str">
        <f>IF(AND('Mapa final'!$AB$121="Media",'Mapa final'!$AD$121="Mayor"),CONCATENATE("R40C",'Mapa final'!$R$121),"")</f>
        <v/>
      </c>
      <c r="T145" s="41" t="str">
        <f>IF(AND('Mapa final'!$AB$122="Media",'Mapa final'!$AD$122="Mayor"),CONCATENATE("R40C",'Mapa final'!$R$122),"")</f>
        <v/>
      </c>
      <c r="U145" s="103" t="str">
        <f>IF(AND('Mapa final'!$AB$123="Media",'Mapa final'!$AD$123="Mayor"),CONCATENATE("R40C",'Mapa final'!$R$123),"")</f>
        <v/>
      </c>
      <c r="V145" s="42" t="str">
        <f>IF(AND('Mapa final'!$AB$121="Media",'Mapa final'!$AD$121="Catastrófico"),CONCATENATE("R40C",'Mapa final'!$R$121),"")</f>
        <v/>
      </c>
      <c r="W145" s="43" t="str">
        <f>IF(AND('Mapa final'!$AB$122="Media",'Mapa final'!$AD$122="Catastrófico"),CONCATENATE("R40C",'Mapa final'!$R$122),"")</f>
        <v/>
      </c>
      <c r="X145" s="97" t="str">
        <f>IF(AND('Mapa final'!$AB$123="Media",'Mapa final'!$AD$123="Catastrófico"),CONCATENATE("R40C",'Mapa final'!$R$123),"")</f>
        <v/>
      </c>
      <c r="Y145" s="55"/>
      <c r="Z145" s="327"/>
      <c r="AA145" s="328"/>
      <c r="AB145" s="328"/>
      <c r="AC145" s="328"/>
      <c r="AD145" s="328"/>
      <c r="AE145" s="329"/>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row>
    <row r="146" spans="1:61" ht="15" customHeight="1" x14ac:dyDescent="0.25">
      <c r="A146" s="55"/>
      <c r="B146" s="316"/>
      <c r="C146" s="316"/>
      <c r="D146" s="317"/>
      <c r="E146" s="306"/>
      <c r="F146" s="305"/>
      <c r="G146" s="305"/>
      <c r="H146" s="305"/>
      <c r="I146" s="305"/>
      <c r="J146" s="48" t="str">
        <f>IF(AND('Mapa final'!$AB$124="Media",'Mapa final'!$AD$124="Leve"),CONCATENATE("R41C",'Mapa final'!$R$124),"")</f>
        <v/>
      </c>
      <c r="K146" s="49" t="str">
        <f>IF(AND('Mapa final'!$AB$125="Media",'Mapa final'!$AD$125="Leve"),CONCATENATE("R41C",'Mapa final'!$R$125),"")</f>
        <v/>
      </c>
      <c r="L146" s="108" t="str">
        <f>IF(AND('Mapa final'!$AB$126="Media",'Mapa final'!$AD$126="Leve"),CONCATENATE("R41C",'Mapa final'!$R$126),"")</f>
        <v/>
      </c>
      <c r="M146" s="48" t="str">
        <f>IF(AND('Mapa final'!$AB$124="Media",'Mapa final'!$AD$124="Menor"),CONCATENATE("R41C",'Mapa final'!$R$124),"")</f>
        <v/>
      </c>
      <c r="N146" s="49" t="str">
        <f>IF(AND('Mapa final'!$AB$125="Media",'Mapa final'!$AD$125="Menor"),CONCATENATE("R41C",'Mapa final'!$R$125),"")</f>
        <v/>
      </c>
      <c r="O146" s="108" t="str">
        <f>IF(AND('Mapa final'!$AB$126="Media",'Mapa final'!$AD$126="Menor"),CONCATENATE("R41C",'Mapa final'!$R$126),"")</f>
        <v/>
      </c>
      <c r="P146" s="48" t="str">
        <f>IF(AND('Mapa final'!$AB$124="Media",'Mapa final'!$AD$124="Moderado"),CONCATENATE("R41C",'Mapa final'!$R$124),"")</f>
        <v>R41C1</v>
      </c>
      <c r="Q146" s="49" t="str">
        <f>IF(AND('Mapa final'!$AB$125="Media",'Mapa final'!$AD$125="Moderado"),CONCATENATE("R41C",'Mapa final'!$R$125),"")</f>
        <v/>
      </c>
      <c r="R146" s="108" t="str">
        <f>IF(AND('Mapa final'!$AB$126="Media",'Mapa final'!$AD$126="Moderado"),CONCATENATE("R41C",'Mapa final'!$R$126),"")</f>
        <v/>
      </c>
      <c r="S146" s="102" t="str">
        <f>IF(AND('Mapa final'!$AB$124="Media",'Mapa final'!$AD$124="Mayor"),CONCATENATE("R41C",'Mapa final'!$R$124),"")</f>
        <v/>
      </c>
      <c r="T146" s="41" t="str">
        <f>IF(AND('Mapa final'!$AB$125="Media",'Mapa final'!$AD$125="Mayor"),CONCATENATE("R41C",'Mapa final'!$R$125),"")</f>
        <v/>
      </c>
      <c r="U146" s="103" t="str">
        <f>IF(AND('Mapa final'!$AB$126="Media",'Mapa final'!$AD$126="Mayor"),CONCATENATE("R41C",'Mapa final'!$R$126),"")</f>
        <v/>
      </c>
      <c r="V146" s="42" t="str">
        <f>IF(AND('Mapa final'!$AB$124="Media",'Mapa final'!$AD$124="Catastrófico"),CONCATENATE("R41C",'Mapa final'!$R$124),"")</f>
        <v/>
      </c>
      <c r="W146" s="43" t="str">
        <f>IF(AND('Mapa final'!$AB$125="Media",'Mapa final'!$AD$125="Catastrófico"),CONCATENATE("R41C",'Mapa final'!$R$125),"")</f>
        <v/>
      </c>
      <c r="X146" s="97" t="str">
        <f>IF(AND('Mapa final'!$AB$126="Media",'Mapa final'!$AD$126="Catastrófico"),CONCATENATE("R41C",'Mapa final'!$R$126),"")</f>
        <v/>
      </c>
      <c r="Y146" s="55"/>
      <c r="Z146" s="327"/>
      <c r="AA146" s="328"/>
      <c r="AB146" s="328"/>
      <c r="AC146" s="328"/>
      <c r="AD146" s="328"/>
      <c r="AE146" s="329"/>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row>
    <row r="147" spans="1:61" ht="15" customHeight="1" x14ac:dyDescent="0.25">
      <c r="A147" s="55"/>
      <c r="B147" s="316"/>
      <c r="C147" s="316"/>
      <c r="D147" s="317"/>
      <c r="E147" s="306"/>
      <c r="F147" s="305"/>
      <c r="G147" s="305"/>
      <c r="H147" s="305"/>
      <c r="I147" s="305"/>
      <c r="J147" s="48" t="str">
        <f>IF(AND('Mapa final'!$AB$127="Media",'Mapa final'!$AD$127="Leve"),CONCATENATE("R42C",'Mapa final'!$R$127),"")</f>
        <v/>
      </c>
      <c r="K147" s="49" t="str">
        <f>IF(AND('Mapa final'!$AB$128="Media",'Mapa final'!$AD$128="Leve"),CONCATENATE("R42C",'Mapa final'!$R$128),"")</f>
        <v/>
      </c>
      <c r="L147" s="108" t="str">
        <f>IF(AND('Mapa final'!$AB$129="Media",'Mapa final'!$AD$129="Leve"),CONCATENATE("R42C",'Mapa final'!$R$129),"")</f>
        <v/>
      </c>
      <c r="M147" s="48" t="str">
        <f>IF(AND('Mapa final'!$AB$127="Media",'Mapa final'!$AD$127="Menor"),CONCATENATE("R42C",'Mapa final'!$R$127),"")</f>
        <v/>
      </c>
      <c r="N147" s="49" t="str">
        <f>IF(AND('Mapa final'!$AB$128="Media",'Mapa final'!$AD$128="Menor"),CONCATENATE("R42C",'Mapa final'!$R$128),"")</f>
        <v/>
      </c>
      <c r="O147" s="108" t="str">
        <f>IF(AND('Mapa final'!$AB$129="Media",'Mapa final'!$AD$129="Menor"),CONCATENATE("R42C",'Mapa final'!$R$129),"")</f>
        <v/>
      </c>
      <c r="P147" s="48" t="str">
        <f>IF(AND('Mapa final'!$AB$127="Media",'Mapa final'!$AD$127="Moderado"),CONCATENATE("R42C",'Mapa final'!$R$127),"")</f>
        <v/>
      </c>
      <c r="Q147" s="49" t="str">
        <f>IF(AND('Mapa final'!$AB$128="Media",'Mapa final'!$AD$128="Moderado"),CONCATENATE("R42C",'Mapa final'!$R$128),"")</f>
        <v/>
      </c>
      <c r="R147" s="108" t="str">
        <f>IF(AND('Mapa final'!$AB$129="Media",'Mapa final'!$AD$129="Moderado"),CONCATENATE("R42C",'Mapa final'!$R$129),"")</f>
        <v/>
      </c>
      <c r="S147" s="102" t="str">
        <f>IF(AND('Mapa final'!$AB$127="Media",'Mapa final'!$AD$127="Mayor"),CONCATENATE("R42C",'Mapa final'!$R$127),"")</f>
        <v/>
      </c>
      <c r="T147" s="41" t="str">
        <f>IF(AND('Mapa final'!$AB$128="Media",'Mapa final'!$AD$128="Mayor"),CONCATENATE("R42C",'Mapa final'!$R$128),"")</f>
        <v/>
      </c>
      <c r="U147" s="103" t="str">
        <f>IF(AND('Mapa final'!$AB$129="Media",'Mapa final'!$AD$129="Mayor"),CONCATENATE("R42C",'Mapa final'!$R$129),"")</f>
        <v/>
      </c>
      <c r="V147" s="42" t="str">
        <f>IF(AND('Mapa final'!$AB$127="Media",'Mapa final'!$AD$127="Catastrófico"),CONCATENATE("R42C",'Mapa final'!$R$127),"")</f>
        <v/>
      </c>
      <c r="W147" s="43" t="str">
        <f>IF(AND('Mapa final'!$AB$128="Media",'Mapa final'!$AD$128="Catastrófico"),CONCATENATE("R42C",'Mapa final'!$R$128),"")</f>
        <v/>
      </c>
      <c r="X147" s="97" t="str">
        <f>IF(AND('Mapa final'!$AB$129="Media",'Mapa final'!$AD$129="Catastrófico"),CONCATENATE("R42C",'Mapa final'!$R$129),"")</f>
        <v/>
      </c>
      <c r="Y147" s="55"/>
      <c r="Z147" s="327"/>
      <c r="AA147" s="328"/>
      <c r="AB147" s="328"/>
      <c r="AC147" s="328"/>
      <c r="AD147" s="328"/>
      <c r="AE147" s="329"/>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row>
    <row r="148" spans="1:61" ht="15" customHeight="1" x14ac:dyDescent="0.25">
      <c r="A148" s="55"/>
      <c r="B148" s="316"/>
      <c r="C148" s="316"/>
      <c r="D148" s="317"/>
      <c r="E148" s="306"/>
      <c r="F148" s="305"/>
      <c r="G148" s="305"/>
      <c r="H148" s="305"/>
      <c r="I148" s="305"/>
      <c r="J148" s="48" t="str">
        <f>IF(AND('Mapa final'!$AB$130="Media",'Mapa final'!$AD$130="Leve"),CONCATENATE("R43C",'Mapa final'!$R$130),"")</f>
        <v/>
      </c>
      <c r="K148" s="49" t="str">
        <f>IF(AND('Mapa final'!$AB$131="Media",'Mapa final'!$AD$131="Leve"),CONCATENATE("R43C",'Mapa final'!$R$131),"")</f>
        <v/>
      </c>
      <c r="L148" s="108" t="str">
        <f>IF(AND('Mapa final'!$AB$132="Media",'Mapa final'!$AD$132="Leve"),CONCATENATE("R43C",'Mapa final'!$R$132),"")</f>
        <v/>
      </c>
      <c r="M148" s="48" t="str">
        <f>IF(AND('Mapa final'!$AB$130="Media",'Mapa final'!$AD$130="Menor"),CONCATENATE("R43C",'Mapa final'!$R$130),"")</f>
        <v/>
      </c>
      <c r="N148" s="49" t="str">
        <f>IF(AND('Mapa final'!$AB$131="Media",'Mapa final'!$AD$131="Menor"),CONCATENATE("R43C",'Mapa final'!$R$131),"")</f>
        <v/>
      </c>
      <c r="O148" s="108" t="str">
        <f>IF(AND('Mapa final'!$AB$132="Media",'Mapa final'!$AD$132="Menor"),CONCATENATE("R43C",'Mapa final'!$R$132),"")</f>
        <v/>
      </c>
      <c r="P148" s="48" t="str">
        <f>IF(AND('Mapa final'!$AB$130="Media",'Mapa final'!$AD$130="Moderado"),CONCATENATE("R43C",'Mapa final'!$R$130),"")</f>
        <v/>
      </c>
      <c r="Q148" s="49" t="str">
        <f>IF(AND('Mapa final'!$AB$131="Media",'Mapa final'!$AD$131="Moderado"),CONCATENATE("R43C",'Mapa final'!$R$131),"")</f>
        <v/>
      </c>
      <c r="R148" s="108" t="str">
        <f>IF(AND('Mapa final'!$AB$132="Media",'Mapa final'!$AD$132="Moderado"),CONCATENATE("R43C",'Mapa final'!$R$132),"")</f>
        <v/>
      </c>
      <c r="S148" s="102" t="str">
        <f>IF(AND('Mapa final'!$AB$130="Media",'Mapa final'!$AD$130="Mayor"),CONCATENATE("R43C",'Mapa final'!$R$130),"")</f>
        <v>R43C1</v>
      </c>
      <c r="T148" s="41" t="str">
        <f>IF(AND('Mapa final'!$AB$131="Media",'Mapa final'!$AD$131="Mayor"),CONCATENATE("R43C",'Mapa final'!$R$131),"")</f>
        <v/>
      </c>
      <c r="U148" s="103" t="str">
        <f>IF(AND('Mapa final'!$AB$132="Media",'Mapa final'!$AD$132="Mayor"),CONCATENATE("R43C",'Mapa final'!$R$132),"")</f>
        <v/>
      </c>
      <c r="V148" s="42" t="str">
        <f>IF(AND('Mapa final'!$AB$130="Media",'Mapa final'!$AD$130="Catastrófico"),CONCATENATE("R43C",'Mapa final'!$R$130),"")</f>
        <v/>
      </c>
      <c r="W148" s="43" t="str">
        <f>IF(AND('Mapa final'!$AB$131="Media",'Mapa final'!$AD$131="Catastrófico"),CONCATENATE("R43C",'Mapa final'!$R$131),"")</f>
        <v/>
      </c>
      <c r="X148" s="97" t="str">
        <f>IF(AND('Mapa final'!$AB$132="Media",'Mapa final'!$AD$132="Catastrófico"),CONCATENATE("R43C",'Mapa final'!$R$132),"")</f>
        <v/>
      </c>
      <c r="Y148" s="55"/>
      <c r="Z148" s="327"/>
      <c r="AA148" s="328"/>
      <c r="AB148" s="328"/>
      <c r="AC148" s="328"/>
      <c r="AD148" s="328"/>
      <c r="AE148" s="329"/>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row>
    <row r="149" spans="1:61" ht="15" customHeight="1" x14ac:dyDescent="0.25">
      <c r="A149" s="55"/>
      <c r="B149" s="316"/>
      <c r="C149" s="316"/>
      <c r="D149" s="317"/>
      <c r="E149" s="306"/>
      <c r="F149" s="305"/>
      <c r="G149" s="305"/>
      <c r="H149" s="305"/>
      <c r="I149" s="305"/>
      <c r="J149" s="48" t="str">
        <f>IF(AND('Mapa final'!$AB$133="Media",'Mapa final'!$AD$133="Leve"),CONCATENATE("R44C",'Mapa final'!$R$133),"")</f>
        <v/>
      </c>
      <c r="K149" s="49" t="str">
        <f>IF(AND('Mapa final'!$AB$134="Media",'Mapa final'!$AD$134="Leve"),CONCATENATE("R44C",'Mapa final'!$R$134),"")</f>
        <v/>
      </c>
      <c r="L149" s="108" t="str">
        <f>IF(AND('Mapa final'!$AB$135="Media",'Mapa final'!$AD$135="Leve"),CONCATENATE("R44C",'Mapa final'!$R$135),"")</f>
        <v/>
      </c>
      <c r="M149" s="48" t="str">
        <f>IF(AND('Mapa final'!$AB$133="Media",'Mapa final'!$AD$133="Menor"),CONCATENATE("R44C",'Mapa final'!$R$133),"")</f>
        <v/>
      </c>
      <c r="N149" s="49" t="str">
        <f>IF(AND('Mapa final'!$AB$134="Media",'Mapa final'!$AD$134="Menor"),CONCATENATE("R44C",'Mapa final'!$R$134),"")</f>
        <v/>
      </c>
      <c r="O149" s="108" t="str">
        <f>IF(AND('Mapa final'!$AB$135="Media",'Mapa final'!$AD$135="Menor"),CONCATENATE("R44C",'Mapa final'!$R$135),"")</f>
        <v/>
      </c>
      <c r="P149" s="48" t="str">
        <f>IF(AND('Mapa final'!$AB$133="Media",'Mapa final'!$AD$133="Moderado"),CONCATENATE("R44C",'Mapa final'!$R$133),"")</f>
        <v>R44C1</v>
      </c>
      <c r="Q149" s="49" t="str">
        <f>IF(AND('Mapa final'!$AB$134="Media",'Mapa final'!$AD$134="Moderado"),CONCATENATE("R44C",'Mapa final'!$R$134),"")</f>
        <v/>
      </c>
      <c r="R149" s="108" t="str">
        <f>IF(AND('Mapa final'!$AB$135="Media",'Mapa final'!$AD$135="Moderado"),CONCATENATE("R44C",'Mapa final'!$R$135),"")</f>
        <v/>
      </c>
      <c r="S149" s="102" t="str">
        <f>IF(AND('Mapa final'!$AB$133="Media",'Mapa final'!$AD$133="Mayor"),CONCATENATE("R44C",'Mapa final'!$R$133),"")</f>
        <v/>
      </c>
      <c r="T149" s="41" t="str">
        <f>IF(AND('Mapa final'!$AB$134="Media",'Mapa final'!$AD$134="Mayor"),CONCATENATE("R44C",'Mapa final'!$R$134),"")</f>
        <v/>
      </c>
      <c r="U149" s="103" t="str">
        <f>IF(AND('Mapa final'!$AB$135="Media",'Mapa final'!$AD$135="Mayor"),CONCATENATE("R44C",'Mapa final'!$R$135),"")</f>
        <v/>
      </c>
      <c r="V149" s="42" t="str">
        <f>IF(AND('Mapa final'!$AB$133="Media",'Mapa final'!$AD$133="Catastrófico"),CONCATENATE("R44C",'Mapa final'!$R$133),"")</f>
        <v/>
      </c>
      <c r="W149" s="43" t="str">
        <f>IF(AND('Mapa final'!$AB$134="Media",'Mapa final'!$AD$134="Catastrófico"),CONCATENATE("R44C",'Mapa final'!$R$134),"")</f>
        <v/>
      </c>
      <c r="X149" s="97" t="str">
        <f>IF(AND('Mapa final'!$AB$135="Media",'Mapa final'!$AD$135="Catastrófico"),CONCATENATE("R44C",'Mapa final'!$R$135),"")</f>
        <v/>
      </c>
      <c r="Y149" s="55"/>
      <c r="Z149" s="327"/>
      <c r="AA149" s="328"/>
      <c r="AB149" s="328"/>
      <c r="AC149" s="328"/>
      <c r="AD149" s="328"/>
      <c r="AE149" s="329"/>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c r="BI149" s="55"/>
    </row>
    <row r="150" spans="1:61" ht="15" customHeight="1" x14ac:dyDescent="0.25">
      <c r="A150" s="55"/>
      <c r="B150" s="316"/>
      <c r="C150" s="316"/>
      <c r="D150" s="317"/>
      <c r="E150" s="306"/>
      <c r="F150" s="305"/>
      <c r="G150" s="305"/>
      <c r="H150" s="305"/>
      <c r="I150" s="305"/>
      <c r="J150" s="48" t="str">
        <f>IF(AND('Mapa final'!$AB$136="Media",'Mapa final'!$AD$136="Leve"),CONCATENATE("R45C",'Mapa final'!$R$136),"")</f>
        <v/>
      </c>
      <c r="K150" s="49" t="str">
        <f>IF(AND('Mapa final'!$AB$137="Media",'Mapa final'!$AD$137="Leve"),CONCATENATE("R45C",'Mapa final'!$R$137),"")</f>
        <v/>
      </c>
      <c r="L150" s="108" t="str">
        <f>IF(AND('Mapa final'!$AB$138="Media",'Mapa final'!$AD$138="Leve"),CONCATENATE("R45C",'Mapa final'!$R$138),"")</f>
        <v/>
      </c>
      <c r="M150" s="48" t="str">
        <f>IF(AND('Mapa final'!$AB$136="Media",'Mapa final'!$AD$136="Menor"),CONCATENATE("R45C",'Mapa final'!$R$136),"")</f>
        <v/>
      </c>
      <c r="N150" s="49" t="str">
        <f>IF(AND('Mapa final'!$AB$137="Media",'Mapa final'!$AD$137="Menor"),CONCATENATE("R45C",'Mapa final'!$R$137),"")</f>
        <v/>
      </c>
      <c r="O150" s="108" t="str">
        <f>IF(AND('Mapa final'!$AB$138="Media",'Mapa final'!$AD$138="Menor"),CONCATENATE("R45C",'Mapa final'!$R$138),"")</f>
        <v/>
      </c>
      <c r="P150" s="48" t="str">
        <f>IF(AND('Mapa final'!$AB$136="Media",'Mapa final'!$AD$136="Moderado"),CONCATENATE("R45C",'Mapa final'!$R$136),"")</f>
        <v/>
      </c>
      <c r="Q150" s="49" t="str">
        <f>IF(AND('Mapa final'!$AB$137="Media",'Mapa final'!$AD$137="Moderado"),CONCATENATE("R45C",'Mapa final'!$R$137),"")</f>
        <v/>
      </c>
      <c r="R150" s="108" t="str">
        <f>IF(AND('Mapa final'!$AB$138="Media",'Mapa final'!$AD$138="Moderado"),CONCATENATE("R45C",'Mapa final'!$R$138),"")</f>
        <v/>
      </c>
      <c r="S150" s="102" t="str">
        <f>IF(AND('Mapa final'!$AB$136="Media",'Mapa final'!$AD$136="Mayor"),CONCATENATE("R45C",'Mapa final'!$R$136),"")</f>
        <v>R45C1</v>
      </c>
      <c r="T150" s="41" t="str">
        <f>IF(AND('Mapa final'!$AB$137="Media",'Mapa final'!$AD$137="Mayor"),CONCATENATE("R45C",'Mapa final'!$R$137),"")</f>
        <v/>
      </c>
      <c r="U150" s="103" t="str">
        <f>IF(AND('Mapa final'!$AB$138="Media",'Mapa final'!$AD$138="Mayor"),CONCATENATE("R45C",'Mapa final'!$R$138),"")</f>
        <v/>
      </c>
      <c r="V150" s="42" t="str">
        <f>IF(AND('Mapa final'!$AB$136="Media",'Mapa final'!$AD$136="Catastrófico"),CONCATENATE("R45C",'Mapa final'!$R$136),"")</f>
        <v/>
      </c>
      <c r="W150" s="43" t="str">
        <f>IF(AND('Mapa final'!$AB$137="Media",'Mapa final'!$AD$137="Catastrófico"),CONCATENATE("R45C",'Mapa final'!$R$137),"")</f>
        <v/>
      </c>
      <c r="X150" s="97" t="str">
        <f>IF(AND('Mapa final'!$AB$138="Media",'Mapa final'!$AD$138="Catastrófico"),CONCATENATE("R45C",'Mapa final'!$R$138),"")</f>
        <v/>
      </c>
      <c r="Y150" s="55"/>
      <c r="Z150" s="327"/>
      <c r="AA150" s="328"/>
      <c r="AB150" s="328"/>
      <c r="AC150" s="328"/>
      <c r="AD150" s="328"/>
      <c r="AE150" s="329"/>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row>
    <row r="151" spans="1:61" ht="15" customHeight="1" x14ac:dyDescent="0.25">
      <c r="A151" s="55"/>
      <c r="B151" s="316"/>
      <c r="C151" s="316"/>
      <c r="D151" s="317"/>
      <c r="E151" s="306"/>
      <c r="F151" s="305"/>
      <c r="G151" s="305"/>
      <c r="H151" s="305"/>
      <c r="I151" s="305"/>
      <c r="J151" s="48" t="str">
        <f>IF(AND('Mapa final'!$AB$139="Media",'Mapa final'!$AD$139="Leve"),CONCATENATE("R46C",'Mapa final'!$R$139),"")</f>
        <v/>
      </c>
      <c r="K151" s="49" t="str">
        <f>IF(AND('Mapa final'!$AB$140="Media",'Mapa final'!$AD$140="Leve"),CONCATENATE("R46C",'Mapa final'!$R$140),"")</f>
        <v/>
      </c>
      <c r="L151" s="108" t="str">
        <f>IF(AND('Mapa final'!$AB$141="Media",'Mapa final'!$AD$141="Leve"),CONCATENATE("R46C",'Mapa final'!$R$141),"")</f>
        <v/>
      </c>
      <c r="M151" s="48" t="str">
        <f>IF(AND('Mapa final'!$AB$139="Media",'Mapa final'!$AD$139="Menor"),CONCATENATE("R46C",'Mapa final'!$R$139),"")</f>
        <v/>
      </c>
      <c r="N151" s="49" t="str">
        <f>IF(AND('Mapa final'!$AB$140="Media",'Mapa final'!$AD$140="Menor"),CONCATENATE("R46C",'Mapa final'!$R$140),"")</f>
        <v/>
      </c>
      <c r="O151" s="108" t="str">
        <f>IF(AND('Mapa final'!$AB$141="Media",'Mapa final'!$AD$141="Menor"),CONCATENATE("R46C",'Mapa final'!$R$141),"")</f>
        <v/>
      </c>
      <c r="P151" s="48" t="str">
        <f>IF(AND('Mapa final'!$AB$139="Media",'Mapa final'!$AD$139="Moderado"),CONCATENATE("R46C",'Mapa final'!$R$139),"")</f>
        <v/>
      </c>
      <c r="Q151" s="49" t="str">
        <f>IF(AND('Mapa final'!$AB$140="Media",'Mapa final'!$AD$140="Moderado"),CONCATENATE("R46C",'Mapa final'!$R$140),"")</f>
        <v/>
      </c>
      <c r="R151" s="108" t="str">
        <f>IF(AND('Mapa final'!$AB$141="Media",'Mapa final'!$AD$141="Moderado"),CONCATENATE("R46C",'Mapa final'!$R$141),"")</f>
        <v/>
      </c>
      <c r="S151" s="102" t="str">
        <f>IF(AND('Mapa final'!$AB$139="Media",'Mapa final'!$AD$139="Mayor"),CONCATENATE("R46C",'Mapa final'!$R$139),"")</f>
        <v/>
      </c>
      <c r="T151" s="41" t="str">
        <f>IF(AND('Mapa final'!$AB$140="Media",'Mapa final'!$AD$140="Mayor"),CONCATENATE("R46C",'Mapa final'!$R$140),"")</f>
        <v/>
      </c>
      <c r="U151" s="103" t="str">
        <f>IF(AND('Mapa final'!$AB$141="Media",'Mapa final'!$AD$141="Mayor"),CONCATENATE("R46C",'Mapa final'!$R$141),"")</f>
        <v/>
      </c>
      <c r="V151" s="42" t="str">
        <f>IF(AND('Mapa final'!$AB$139="Media",'Mapa final'!$AD$139="Catastrófico"),CONCATENATE("R46C",'Mapa final'!$R$139),"")</f>
        <v/>
      </c>
      <c r="W151" s="43" t="str">
        <f>IF(AND('Mapa final'!$AB$140="Media",'Mapa final'!$AD$140="Catastrófico"),CONCATENATE("R46C",'Mapa final'!$R$140),"")</f>
        <v/>
      </c>
      <c r="X151" s="97" t="str">
        <f>IF(AND('Mapa final'!$AB$141="Media",'Mapa final'!$AD$141="Catastrófico"),CONCATENATE("R46C",'Mapa final'!$R$141),"")</f>
        <v/>
      </c>
      <c r="Y151" s="55"/>
      <c r="Z151" s="327"/>
      <c r="AA151" s="328"/>
      <c r="AB151" s="328"/>
      <c r="AC151" s="328"/>
      <c r="AD151" s="328"/>
      <c r="AE151" s="329"/>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c r="BI151" s="55"/>
    </row>
    <row r="152" spans="1:61" ht="15" customHeight="1" x14ac:dyDescent="0.25">
      <c r="A152" s="55"/>
      <c r="B152" s="316"/>
      <c r="C152" s="316"/>
      <c r="D152" s="317"/>
      <c r="E152" s="306"/>
      <c r="F152" s="305"/>
      <c r="G152" s="305"/>
      <c r="H152" s="305"/>
      <c r="I152" s="305"/>
      <c r="J152" s="48" t="str">
        <f>IF(AND('Mapa final'!$AB$142="Media",'Mapa final'!$AD$142="Leve"),CONCATENATE("R47C",'Mapa final'!$R$142),"")</f>
        <v/>
      </c>
      <c r="K152" s="49" t="str">
        <f>IF(AND('Mapa final'!$AB$143="Media",'Mapa final'!$AD$143="Leve"),CONCATENATE("R47C",'Mapa final'!$R$143),"")</f>
        <v/>
      </c>
      <c r="L152" s="108" t="str">
        <f>IF(AND('Mapa final'!$AB$144="Media",'Mapa final'!$AD$144="Leve"),CONCATENATE("R47C",'Mapa final'!$R$144),"")</f>
        <v/>
      </c>
      <c r="M152" s="48" t="str">
        <f>IF(AND('Mapa final'!$AB$142="Media",'Mapa final'!$AD$142="Menor"),CONCATENATE("R47C",'Mapa final'!$R$142),"")</f>
        <v/>
      </c>
      <c r="N152" s="49" t="str">
        <f>IF(AND('Mapa final'!$AB$143="Media",'Mapa final'!$AD$143="Menor"),CONCATENATE("R47C",'Mapa final'!$R$143),"")</f>
        <v/>
      </c>
      <c r="O152" s="108" t="str">
        <f>IF(AND('Mapa final'!$AB$144="Media",'Mapa final'!$AD$144="Menor"),CONCATENATE("R47C",'Mapa final'!$R$144),"")</f>
        <v/>
      </c>
      <c r="P152" s="48" t="str">
        <f>IF(AND('Mapa final'!$AB$142="Media",'Mapa final'!$AD$142="Moderado"),CONCATENATE("R47C",'Mapa final'!$R$142),"")</f>
        <v/>
      </c>
      <c r="Q152" s="49" t="str">
        <f>IF(AND('Mapa final'!$AB$143="Media",'Mapa final'!$AD$143="Moderado"),CONCATENATE("R47C",'Mapa final'!$R$143),"")</f>
        <v/>
      </c>
      <c r="R152" s="108" t="str">
        <f>IF(AND('Mapa final'!$AB$144="Media",'Mapa final'!$AD$144="Moderado"),CONCATENATE("R47C",'Mapa final'!$R$144),"")</f>
        <v/>
      </c>
      <c r="S152" s="102" t="str">
        <f>IF(AND('Mapa final'!$AB$142="Media",'Mapa final'!$AD$142="Mayor"),CONCATENATE("R47C",'Mapa final'!$R$142),"")</f>
        <v/>
      </c>
      <c r="T152" s="41" t="str">
        <f>IF(AND('Mapa final'!$AB$143="Media",'Mapa final'!$AD$143="Mayor"),CONCATENATE("R47C",'Mapa final'!$R$143),"")</f>
        <v/>
      </c>
      <c r="U152" s="103" t="str">
        <f>IF(AND('Mapa final'!$AB$144="Media",'Mapa final'!$AD$144="Mayor"),CONCATENATE("R47C",'Mapa final'!$R$144),"")</f>
        <v/>
      </c>
      <c r="V152" s="42" t="str">
        <f>IF(AND('Mapa final'!$AB$142="Media",'Mapa final'!$AD$142="Catastrófico"),CONCATENATE("R47C",'Mapa final'!$R$142),"")</f>
        <v/>
      </c>
      <c r="W152" s="43" t="str">
        <f>IF(AND('Mapa final'!$AB$143="Media",'Mapa final'!$AD$143="Catastrófico"),CONCATENATE("R47C",'Mapa final'!$R$143),"")</f>
        <v/>
      </c>
      <c r="X152" s="97" t="str">
        <f>IF(AND('Mapa final'!$AB$144="Media",'Mapa final'!$AD$144="Catastrófico"),CONCATENATE("R47C",'Mapa final'!$R$144),"")</f>
        <v/>
      </c>
      <c r="Y152" s="55"/>
      <c r="Z152" s="327"/>
      <c r="AA152" s="328"/>
      <c r="AB152" s="328"/>
      <c r="AC152" s="328"/>
      <c r="AD152" s="328"/>
      <c r="AE152" s="329"/>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row>
    <row r="153" spans="1:61" ht="15" customHeight="1" x14ac:dyDescent="0.25">
      <c r="A153" s="55"/>
      <c r="B153" s="316"/>
      <c r="C153" s="316"/>
      <c r="D153" s="317"/>
      <c r="E153" s="306"/>
      <c r="F153" s="305"/>
      <c r="G153" s="305"/>
      <c r="H153" s="305"/>
      <c r="I153" s="305"/>
      <c r="J153" s="48" t="str">
        <f>IF(AND('Mapa final'!$AB$145="Media",'Mapa final'!$AD$145="Leve"),CONCATENATE("R48C",'Mapa final'!$R$145),"")</f>
        <v/>
      </c>
      <c r="K153" s="49" t="str">
        <f>IF(AND('Mapa final'!$AB$146="Media",'Mapa final'!$AD$146="Leve"),CONCATENATE("R48C",'Mapa final'!$R$146),"")</f>
        <v/>
      </c>
      <c r="L153" s="108" t="str">
        <f>IF(AND('Mapa final'!$AB$147="Media",'Mapa final'!$AD$147="Leve"),CONCATENATE("R48C",'Mapa final'!$R$147),"")</f>
        <v/>
      </c>
      <c r="M153" s="48" t="str">
        <f>IF(AND('Mapa final'!$AB$145="Media",'Mapa final'!$AD$145="Menor"),CONCATENATE("R48C",'Mapa final'!$R$145),"")</f>
        <v/>
      </c>
      <c r="N153" s="49" t="str">
        <f>IF(AND('Mapa final'!$AB$146="Media",'Mapa final'!$AD$146="Menor"),CONCATENATE("R48C",'Mapa final'!$R$146),"")</f>
        <v/>
      </c>
      <c r="O153" s="108" t="str">
        <f>IF(AND('Mapa final'!$AB$147="Media",'Mapa final'!$AD$147="Menor"),CONCATENATE("R48C",'Mapa final'!$R$147),"")</f>
        <v/>
      </c>
      <c r="P153" s="48" t="str">
        <f>IF(AND('Mapa final'!$AB$145="Media",'Mapa final'!$AD$145="Moderado"),CONCATENATE("R48C",'Mapa final'!$R$145),"")</f>
        <v/>
      </c>
      <c r="Q153" s="49" t="str">
        <f>IF(AND('Mapa final'!$AB$146="Media",'Mapa final'!$AD$146="Moderado"),CONCATENATE("R48C",'Mapa final'!$R$146),"")</f>
        <v/>
      </c>
      <c r="R153" s="108" t="str">
        <f>IF(AND('Mapa final'!$AB$147="Media",'Mapa final'!$AD$147="Moderado"),CONCATENATE("R48C",'Mapa final'!$R$147),"")</f>
        <v/>
      </c>
      <c r="S153" s="102" t="str">
        <f>IF(AND('Mapa final'!$AB$145="Media",'Mapa final'!$AD$145="Mayor"),CONCATENATE("R48C",'Mapa final'!$R$145),"")</f>
        <v/>
      </c>
      <c r="T153" s="41" t="str">
        <f>IF(AND('Mapa final'!$AB$146="Media",'Mapa final'!$AD$146="Mayor"),CONCATENATE("R48C",'Mapa final'!$R$146),"")</f>
        <v/>
      </c>
      <c r="U153" s="103" t="str">
        <f>IF(AND('Mapa final'!$AB$147="Media",'Mapa final'!$AD$147="Mayor"),CONCATENATE("R48C",'Mapa final'!$R$147),"")</f>
        <v/>
      </c>
      <c r="V153" s="42" t="str">
        <f>IF(AND('Mapa final'!$AB$145="Media",'Mapa final'!$AD$145="Catastrófico"),CONCATENATE("R48C",'Mapa final'!$R$145),"")</f>
        <v/>
      </c>
      <c r="W153" s="43" t="str">
        <f>IF(AND('Mapa final'!$AB$146="Media",'Mapa final'!$AD$146="Catastrófico"),CONCATENATE("R48C",'Mapa final'!$R$146),"")</f>
        <v/>
      </c>
      <c r="X153" s="97" t="str">
        <f>IF(AND('Mapa final'!$AB$147="Media",'Mapa final'!$AD$147="Catastrófico"),CONCATENATE("R48C",'Mapa final'!$R$147),"")</f>
        <v/>
      </c>
      <c r="Y153" s="55"/>
      <c r="Z153" s="327"/>
      <c r="AA153" s="328"/>
      <c r="AB153" s="328"/>
      <c r="AC153" s="328"/>
      <c r="AD153" s="328"/>
      <c r="AE153" s="329"/>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row>
    <row r="154" spans="1:61" ht="15" customHeight="1" x14ac:dyDescent="0.25">
      <c r="A154" s="55"/>
      <c r="B154" s="316"/>
      <c r="C154" s="316"/>
      <c r="D154" s="317"/>
      <c r="E154" s="306"/>
      <c r="F154" s="305"/>
      <c r="G154" s="305"/>
      <c r="H154" s="305"/>
      <c r="I154" s="305"/>
      <c r="J154" s="48" t="str">
        <f>IF(AND('Mapa final'!$AB$148="Media",'Mapa final'!$AD$148="Leve"),CONCATENATE("R49C",'Mapa final'!$R$148),"")</f>
        <v/>
      </c>
      <c r="K154" s="49" t="str">
        <f>IF(AND('Mapa final'!$AB$149="Media",'Mapa final'!$AD$149="Leve"),CONCATENATE("R49C",'Mapa final'!$R$149),"")</f>
        <v/>
      </c>
      <c r="L154" s="108" t="str">
        <f>IF(AND('Mapa final'!$AB$150="Media",'Mapa final'!$AD$150="Leve"),CONCATENATE("R49C",'Mapa final'!$R$150),"")</f>
        <v/>
      </c>
      <c r="M154" s="48" t="str">
        <f>IF(AND('Mapa final'!$AB$148="Media",'Mapa final'!$AD$148="Menor"),CONCATENATE("R49C",'Mapa final'!$R$148),"")</f>
        <v/>
      </c>
      <c r="N154" s="49" t="str">
        <f>IF(AND('Mapa final'!$AB$149="Media",'Mapa final'!$AD$149="Menor"),CONCATENATE("R49C",'Mapa final'!$R$149),"")</f>
        <v/>
      </c>
      <c r="O154" s="108" t="str">
        <f>IF(AND('Mapa final'!$AB$150="Media",'Mapa final'!$AD$150="Menor"),CONCATENATE("R49C",'Mapa final'!$R$150),"")</f>
        <v/>
      </c>
      <c r="P154" s="48" t="str">
        <f>IF(AND('Mapa final'!$AB$148="Media",'Mapa final'!$AD$148="Moderado"),CONCATENATE("R49C",'Mapa final'!$R$148),"")</f>
        <v/>
      </c>
      <c r="Q154" s="49" t="str">
        <f>IF(AND('Mapa final'!$AB$149="Media",'Mapa final'!$AD$149="Moderado"),CONCATENATE("R49C",'Mapa final'!$R$149),"")</f>
        <v/>
      </c>
      <c r="R154" s="108" t="str">
        <f>IF(AND('Mapa final'!$AB$150="Media",'Mapa final'!$AD$150="Moderado"),CONCATENATE("R49C",'Mapa final'!$R$150),"")</f>
        <v/>
      </c>
      <c r="S154" s="102" t="str">
        <f>IF(AND('Mapa final'!$AB$148="Media",'Mapa final'!$AD$148="Mayor"),CONCATENATE("R49C",'Mapa final'!$R$148),"")</f>
        <v/>
      </c>
      <c r="T154" s="41" t="str">
        <f>IF(AND('Mapa final'!$AB$149="Media",'Mapa final'!$AD$149="Mayor"),CONCATENATE("R49C",'Mapa final'!$R$149),"")</f>
        <v/>
      </c>
      <c r="U154" s="103" t="str">
        <f>IF(AND('Mapa final'!$AB$150="Media",'Mapa final'!$AD$150="Mayor"),CONCATENATE("R49C",'Mapa final'!$R$150),"")</f>
        <v/>
      </c>
      <c r="V154" s="42" t="str">
        <f>IF(AND('Mapa final'!$AB$148="Media",'Mapa final'!$AD$148="Catastrófico"),CONCATENATE("R49C",'Mapa final'!$R$148),"")</f>
        <v/>
      </c>
      <c r="W154" s="43" t="str">
        <f>IF(AND('Mapa final'!$AB$149="Media",'Mapa final'!$AD$149="Catastrófico"),CONCATENATE("R49C",'Mapa final'!$R$149),"")</f>
        <v/>
      </c>
      <c r="X154" s="97" t="str">
        <f>IF(AND('Mapa final'!$AB$150="Media",'Mapa final'!$AD$150="Catastrófico"),CONCATENATE("R49C",'Mapa final'!$R$150),"")</f>
        <v/>
      </c>
      <c r="Y154" s="55"/>
      <c r="Z154" s="327"/>
      <c r="AA154" s="328"/>
      <c r="AB154" s="328"/>
      <c r="AC154" s="328"/>
      <c r="AD154" s="328"/>
      <c r="AE154" s="329"/>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row>
    <row r="155" spans="1:61" ht="15" customHeight="1" thickBot="1" x14ac:dyDescent="0.3">
      <c r="A155" s="55"/>
      <c r="B155" s="316"/>
      <c r="C155" s="316"/>
      <c r="D155" s="317"/>
      <c r="E155" s="306"/>
      <c r="F155" s="305"/>
      <c r="G155" s="305"/>
      <c r="H155" s="305"/>
      <c r="I155" s="305"/>
      <c r="J155" s="50" t="str">
        <f>IF(AND('Mapa final'!$AB$151="Media",'Mapa final'!$AD$151="Leve"),CONCATENATE("R50C",'Mapa final'!$R$151),"")</f>
        <v/>
      </c>
      <c r="K155" s="51" t="str">
        <f>IF(AND('Mapa final'!$AB$152="Media",'Mapa final'!$AD$152="Leve"),CONCATENATE("R50C",'Mapa final'!$R$152),"")</f>
        <v/>
      </c>
      <c r="L155" s="109" t="str">
        <f>IF(AND('Mapa final'!$AB$153="Media",'Mapa final'!$AD$153="Leve"),CONCATENATE("R50C",'Mapa final'!$R$153),"")</f>
        <v/>
      </c>
      <c r="M155" s="50" t="str">
        <f>IF(AND('Mapa final'!$AB$151="Media",'Mapa final'!$AD$151="Menor"),CONCATENATE("R50C",'Mapa final'!$R$151),"")</f>
        <v/>
      </c>
      <c r="N155" s="51" t="str">
        <f>IF(AND('Mapa final'!$AB$152="Media",'Mapa final'!$AD$152="Menor"),CONCATENATE("R50C",'Mapa final'!$R$152),"")</f>
        <v/>
      </c>
      <c r="O155" s="109" t="str">
        <f>IF(AND('Mapa final'!$AB$153="Media",'Mapa final'!$AD$153="Menor"),CONCATENATE("R50C",'Mapa final'!$R$153),"")</f>
        <v/>
      </c>
      <c r="P155" s="50" t="str">
        <f>IF(AND('Mapa final'!$AB$151="Media",'Mapa final'!$AD$151="Moderado"),CONCATENATE("R50C",'Mapa final'!$R$151),"")</f>
        <v/>
      </c>
      <c r="Q155" s="51" t="str">
        <f>IF(AND('Mapa final'!$AB$152="Media",'Mapa final'!$AD$152="Moderado"),CONCATENATE("R50C",'Mapa final'!$R$152),"")</f>
        <v/>
      </c>
      <c r="R155" s="109" t="str">
        <f>IF(AND('Mapa final'!$AB$153="Media",'Mapa final'!$AD$153="Moderado"),CONCATENATE("R50C",'Mapa final'!$R$153),"")</f>
        <v/>
      </c>
      <c r="S155" s="104" t="str">
        <f>IF(AND('Mapa final'!$AB$151="Media",'Mapa final'!$AD$151="Mayor"),CONCATENATE("R50C",'Mapa final'!$R$151),"")</f>
        <v/>
      </c>
      <c r="T155" s="105" t="str">
        <f>IF(AND('Mapa final'!$AB$152="Media",'Mapa final'!$AD$152="Mayor"),CONCATENATE("R50C",'Mapa final'!$R$152),"")</f>
        <v/>
      </c>
      <c r="U155" s="106" t="str">
        <f>IF(AND('Mapa final'!$AB$153="Media",'Mapa final'!$AD$153="Mayor"),CONCATENATE("R50C",'Mapa final'!$R$153),"")</f>
        <v/>
      </c>
      <c r="V155" s="44" t="str">
        <f>IF(AND('Mapa final'!$AB$151="Media",'Mapa final'!$AD$151="Catastrófico"),CONCATENATE("R50C",'Mapa final'!$R$151),"")</f>
        <v/>
      </c>
      <c r="W155" s="45" t="str">
        <f>IF(AND('Mapa final'!$AB$152="Media",'Mapa final'!$AD$152="Catastrófico"),CONCATENATE("R50C",'Mapa final'!$R$152),"")</f>
        <v/>
      </c>
      <c r="X155" s="98" t="str">
        <f>IF(AND('Mapa final'!$AB$153="Media",'Mapa final'!$AD$153="Catastrófico"),CONCATENATE("R50C",'Mapa final'!$R$153),"")</f>
        <v/>
      </c>
      <c r="Y155" s="55"/>
      <c r="Z155" s="327"/>
      <c r="AA155" s="328"/>
      <c r="AB155" s="328"/>
      <c r="AC155" s="328"/>
      <c r="AD155" s="328"/>
      <c r="AE155" s="329"/>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row>
    <row r="156" spans="1:61" ht="15" customHeight="1" x14ac:dyDescent="0.25">
      <c r="A156" s="55"/>
      <c r="B156" s="316"/>
      <c r="C156" s="316"/>
      <c r="D156" s="317"/>
      <c r="E156" s="302" t="s">
        <v>105</v>
      </c>
      <c r="F156" s="303"/>
      <c r="G156" s="303"/>
      <c r="H156" s="303"/>
      <c r="I156" s="303"/>
      <c r="J156" s="110" t="str">
        <f>IF(AND('Mapa final'!$AB$7="Baja",'Mapa final'!$AD$7="Leve"),CONCATENATE("R1C",'Mapa final'!$R$7),"")</f>
        <v/>
      </c>
      <c r="K156" s="52" t="str">
        <f>IF(AND('Mapa final'!$AB$8="Baja",'Mapa final'!$AD$8="Leve"),CONCATENATE("R1C",'Mapa final'!$R$8),"")</f>
        <v/>
      </c>
      <c r="L156" s="111" t="str">
        <f>IF(AND('Mapa final'!$AB$9="Baja",'Mapa final'!$AD$9="Leve"),CONCATENATE("R1C",'Mapa final'!$R$9),"")</f>
        <v/>
      </c>
      <c r="M156" s="46" t="str">
        <f>IF(AND('Mapa final'!$AB$7="Baja",'Mapa final'!$AD$7="Menor"),CONCATENATE("R1C",'Mapa final'!$R$7),"")</f>
        <v/>
      </c>
      <c r="N156" s="47" t="str">
        <f>IF(AND('Mapa final'!$AB$8="Baja",'Mapa final'!$AD$8="Menor"),CONCATENATE("R1C",'Mapa final'!$R$8),"")</f>
        <v/>
      </c>
      <c r="O156" s="107" t="str">
        <f>IF(AND('Mapa final'!$AB$9="Baja",'Mapa final'!$AD$9="Menor"),CONCATENATE("R1C",'Mapa final'!$R$9),"")</f>
        <v/>
      </c>
      <c r="P156" s="46" t="str">
        <f>IF(AND('Mapa final'!$AB$7="Baja",'Mapa final'!$AD$7="Moderado"),CONCATENATE("R1C",'Mapa final'!$R$7),"")</f>
        <v>R1C1</v>
      </c>
      <c r="Q156" s="47" t="str">
        <f>IF(AND('Mapa final'!$AB$8="Baja",'Mapa final'!$AD$8="Moderado"),CONCATENATE("R1C",'Mapa final'!$R$8),"")</f>
        <v/>
      </c>
      <c r="R156" s="107" t="str">
        <f>IF(AND('Mapa final'!$AB$9="Baja",'Mapa final'!$AD$9="Moderado"),CONCATENATE("R1C",'Mapa final'!$R$9),"")</f>
        <v/>
      </c>
      <c r="S156" s="99" t="str">
        <f>IF(AND('Mapa final'!$AB$7="Baja",'Mapa final'!$AD$7="Mayor"),CONCATENATE("R1C",'Mapa final'!$R$7),"")</f>
        <v/>
      </c>
      <c r="T156" s="100" t="str">
        <f>IF(AND('Mapa final'!$AB$8="Baja",'Mapa final'!$AD$8="Mayor"),CONCATENATE("R1C",'Mapa final'!$R$8),"")</f>
        <v/>
      </c>
      <c r="U156" s="101" t="str">
        <f>IF(AND('Mapa final'!$AB$9="Baja",'Mapa final'!$AD$9="Mayor"),CONCATENATE("R1C",'Mapa final'!$R$9),"")</f>
        <v/>
      </c>
      <c r="V156" s="39" t="str">
        <f>IF(AND('Mapa final'!$AB$7="Baja",'Mapa final'!$AD$7="Catastrófico"),CONCATENATE("R1C",'Mapa final'!$R$7),"")</f>
        <v/>
      </c>
      <c r="W156" s="40" t="str">
        <f>IF(AND('Mapa final'!$AB$8="Baja",'Mapa final'!$AD$8="Catastrófico"),CONCATENATE("R1C",'Mapa final'!$R$8),"")</f>
        <v/>
      </c>
      <c r="X156" s="96" t="str">
        <f>IF(AND('Mapa final'!$AB$9="Baja",'Mapa final'!$AD$9="Catastrófico"),CONCATENATE("R1C",'Mapa final'!$R$9),"")</f>
        <v/>
      </c>
      <c r="Y156" s="55"/>
      <c r="Z156" s="318" t="s">
        <v>76</v>
      </c>
      <c r="AA156" s="319"/>
      <c r="AB156" s="319"/>
      <c r="AC156" s="319"/>
      <c r="AD156" s="319"/>
      <c r="AE156" s="320"/>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row>
    <row r="157" spans="1:61" ht="15" customHeight="1" x14ac:dyDescent="0.25">
      <c r="A157" s="55"/>
      <c r="B157" s="316"/>
      <c r="C157" s="316"/>
      <c r="D157" s="317"/>
      <c r="E157" s="304"/>
      <c r="F157" s="305"/>
      <c r="G157" s="305"/>
      <c r="H157" s="305"/>
      <c r="I157" s="305"/>
      <c r="J157" s="112" t="str">
        <f>IF(AND('Mapa final'!$AB$10="Baja",'Mapa final'!$AD$10="Leve"),CONCATENATE("R2C",'Mapa final'!$R$10),"")</f>
        <v/>
      </c>
      <c r="K157" s="53" t="str">
        <f>IF(AND('Mapa final'!$AB$11="Baja",'Mapa final'!$AD$11="Leve"),CONCATENATE("R2C",'Mapa final'!$R$11),"")</f>
        <v/>
      </c>
      <c r="L157" s="113" t="str">
        <f>IF(AND('Mapa final'!$AB$12="Baja",'Mapa final'!$AD$12="Leve"),CONCATENATE("R2C",'Mapa final'!$R$12),"")</f>
        <v/>
      </c>
      <c r="M157" s="48" t="str">
        <f>IF(AND('Mapa final'!$AB$10="Baja",'Mapa final'!$AD$10="Menor"),CONCATENATE("R2C",'Mapa final'!$R$10),"")</f>
        <v/>
      </c>
      <c r="N157" s="49" t="str">
        <f>IF(AND('Mapa final'!$AB$11="Baja",'Mapa final'!$AD$11="Menor"),CONCATENATE("R2C",'Mapa final'!$R$11),"")</f>
        <v/>
      </c>
      <c r="O157" s="108" t="str">
        <f>IF(AND('Mapa final'!$AB$12="Baja",'Mapa final'!$AD$12="Menor"),CONCATENATE("R2C",'Mapa final'!$R$12),"")</f>
        <v/>
      </c>
      <c r="P157" s="48" t="str">
        <f>IF(AND('Mapa final'!$AB$10="Baja",'Mapa final'!$AD$10="Moderado"),CONCATENATE("R2C",'Mapa final'!$R$10),"")</f>
        <v>R2C1</v>
      </c>
      <c r="Q157" s="49" t="str">
        <f>IF(AND('Mapa final'!$AB$11="Baja",'Mapa final'!$AD$11="Moderado"),CONCATENATE("R2C",'Mapa final'!$R$11),"")</f>
        <v/>
      </c>
      <c r="R157" s="108" t="str">
        <f>IF(AND('Mapa final'!$AB$12="Baja",'Mapa final'!$AD$12="Moderado"),CONCATENATE("R2C",'Mapa final'!$R$12),"")</f>
        <v/>
      </c>
      <c r="S157" s="102" t="str">
        <f>IF(AND('Mapa final'!$AB$10="Baja",'Mapa final'!$AD$10="Mayor"),CONCATENATE("R2C",'Mapa final'!$R$10),"")</f>
        <v/>
      </c>
      <c r="T157" s="41" t="str">
        <f>IF(AND('Mapa final'!$AB$11="Baja",'Mapa final'!$AD$11="Mayor"),CONCATENATE("R2C",'Mapa final'!$R$11),"")</f>
        <v/>
      </c>
      <c r="U157" s="103" t="str">
        <f>IF(AND('Mapa final'!$AB$12="Baja",'Mapa final'!$AD$12="Mayor"),CONCATENATE("R2C",'Mapa final'!$R$12),"")</f>
        <v/>
      </c>
      <c r="V157" s="42" t="str">
        <f>IF(AND('Mapa final'!$AB$10="Baja",'Mapa final'!$AD$10="Catastrófico"),CONCATENATE("R2C",'Mapa final'!$R$10),"")</f>
        <v/>
      </c>
      <c r="W157" s="43" t="str">
        <f>IF(AND('Mapa final'!$AB$11="Baja",'Mapa final'!$AD$11="Catastrófico"),CONCATENATE("R2C",'Mapa final'!$R$11),"")</f>
        <v/>
      </c>
      <c r="X157" s="97" t="str">
        <f>IF(AND('Mapa final'!$AB$12="Baja",'Mapa final'!$AD$12="Catastrófico"),CONCATENATE("R2C",'Mapa final'!$R$12),"")</f>
        <v/>
      </c>
      <c r="Y157" s="55"/>
      <c r="Z157" s="321"/>
      <c r="AA157" s="322"/>
      <c r="AB157" s="322"/>
      <c r="AC157" s="322"/>
      <c r="AD157" s="322"/>
      <c r="AE157" s="323"/>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row>
    <row r="158" spans="1:61" ht="15" customHeight="1" x14ac:dyDescent="0.25">
      <c r="A158" s="55"/>
      <c r="B158" s="316"/>
      <c r="C158" s="316"/>
      <c r="D158" s="317"/>
      <c r="E158" s="304"/>
      <c r="F158" s="305"/>
      <c r="G158" s="305"/>
      <c r="H158" s="305"/>
      <c r="I158" s="305"/>
      <c r="J158" s="112" t="str">
        <f>IF(AND('Mapa final'!$AB$13="Baja",'Mapa final'!$AD$13="Leve"),CONCATENATE("R3C",'Mapa final'!$R$13),"")</f>
        <v/>
      </c>
      <c r="K158" s="53" t="str">
        <f>IF(AND('Mapa final'!$AB$14="Baja",'Mapa final'!$AD$14="Leve"),CONCATENATE("R3C",'Mapa final'!$R$14),"")</f>
        <v/>
      </c>
      <c r="L158" s="113" t="str">
        <f>IF(AND('Mapa final'!$AB$15="Baja",'Mapa final'!$AD$15="Leve"),CONCATENATE("R3C",'Mapa final'!$R$15),"")</f>
        <v/>
      </c>
      <c r="M158" s="48" t="str">
        <f>IF(AND('Mapa final'!$AB$13="Baja",'Mapa final'!$AD$13="Menor"),CONCATENATE("R3C",'Mapa final'!$R$13),"")</f>
        <v/>
      </c>
      <c r="N158" s="49" t="str">
        <f>IF(AND('Mapa final'!$AB$14="Baja",'Mapa final'!$AD$14="Menor"),CONCATENATE("R3C",'Mapa final'!$R$14),"")</f>
        <v/>
      </c>
      <c r="O158" s="108" t="str">
        <f>IF(AND('Mapa final'!$AB$15="Baja",'Mapa final'!$AD$15="Menor"),CONCATENATE("R3C",'Mapa final'!$R$15),"")</f>
        <v/>
      </c>
      <c r="P158" s="48" t="str">
        <f>IF(AND('Mapa final'!$AB$13="Baja",'Mapa final'!$AD$13="Moderado"),CONCATENATE("R3C",'Mapa final'!$R$13),"")</f>
        <v/>
      </c>
      <c r="Q158" s="49" t="str">
        <f>IF(AND('Mapa final'!$AB$14="Baja",'Mapa final'!$AD$14="Moderado"),CONCATENATE("R3C",'Mapa final'!$R$14),"")</f>
        <v/>
      </c>
      <c r="R158" s="108" t="str">
        <f>IF(AND('Mapa final'!$AB$15="Baja",'Mapa final'!$AD$15="Moderado"),CONCATENATE("R3C",'Mapa final'!$R$15),"")</f>
        <v/>
      </c>
      <c r="S158" s="102" t="str">
        <f>IF(AND('Mapa final'!$AB$13="Baja",'Mapa final'!$AD$13="Mayor"),CONCATENATE("R3C",'Mapa final'!$R$13),"")</f>
        <v/>
      </c>
      <c r="T158" s="41" t="str">
        <f>IF(AND('Mapa final'!$AB$14="Baja",'Mapa final'!$AD$14="Mayor"),CONCATENATE("R3C",'Mapa final'!$R$14),"")</f>
        <v/>
      </c>
      <c r="U158" s="103" t="str">
        <f>IF(AND('Mapa final'!$AB$15="Baja",'Mapa final'!$AD$15="Mayor"),CONCATENATE("R3C",'Mapa final'!$R$15),"")</f>
        <v/>
      </c>
      <c r="V158" s="42" t="str">
        <f>IF(AND('Mapa final'!$AB$13="Baja",'Mapa final'!$AD$13="Catastrófico"),CONCATENATE("R3C",'Mapa final'!$R$13),"")</f>
        <v/>
      </c>
      <c r="W158" s="43" t="str">
        <f>IF(AND('Mapa final'!$AB$14="Baja",'Mapa final'!$AD$14="Catastrófico"),CONCATENATE("R3C",'Mapa final'!$R$14),"")</f>
        <v/>
      </c>
      <c r="X158" s="97" t="str">
        <f>IF(AND('Mapa final'!$AB$15="Baja",'Mapa final'!$AD$15="Catastrófico"),CONCATENATE("R3C",'Mapa final'!$R$15),"")</f>
        <v/>
      </c>
      <c r="Y158" s="55"/>
      <c r="Z158" s="321"/>
      <c r="AA158" s="322"/>
      <c r="AB158" s="322"/>
      <c r="AC158" s="322"/>
      <c r="AD158" s="322"/>
      <c r="AE158" s="323"/>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row>
    <row r="159" spans="1:61" ht="15" customHeight="1" x14ac:dyDescent="0.25">
      <c r="A159" s="55"/>
      <c r="B159" s="316"/>
      <c r="C159" s="316"/>
      <c r="D159" s="317"/>
      <c r="E159" s="304"/>
      <c r="F159" s="305"/>
      <c r="G159" s="305"/>
      <c r="H159" s="305"/>
      <c r="I159" s="305"/>
      <c r="J159" s="112" t="e">
        <f>IF(AND('Mapa final'!#REF!="Baja",'Mapa final'!#REF!="Leve"),CONCATENATE("R4C",'Mapa final'!#REF!),"")</f>
        <v>#REF!</v>
      </c>
      <c r="K159" s="53" t="e">
        <f>IF(AND('Mapa final'!#REF!="Baja",'Mapa final'!#REF!="Leve"),CONCATENATE("R4C",'Mapa final'!#REF!),"")</f>
        <v>#REF!</v>
      </c>
      <c r="L159" s="113" t="e">
        <f>IF(AND('Mapa final'!#REF!="Baja",'Mapa final'!#REF!="Leve"),CONCATENATE("R4C",'Mapa final'!#REF!),"")</f>
        <v>#REF!</v>
      </c>
      <c r="M159" s="48" t="e">
        <f>IF(AND('Mapa final'!#REF!="Baja",'Mapa final'!#REF!="Menor"),CONCATENATE("R4C",'Mapa final'!#REF!),"")</f>
        <v>#REF!</v>
      </c>
      <c r="N159" s="49" t="e">
        <f>IF(AND('Mapa final'!#REF!="Baja",'Mapa final'!#REF!="Menor"),CONCATENATE("R4C",'Mapa final'!#REF!),"")</f>
        <v>#REF!</v>
      </c>
      <c r="O159" s="108" t="e">
        <f>IF(AND('Mapa final'!#REF!="Baja",'Mapa final'!#REF!="Menor"),CONCATENATE("R4C",'Mapa final'!#REF!),"")</f>
        <v>#REF!</v>
      </c>
      <c r="P159" s="48" t="e">
        <f>IF(AND('Mapa final'!#REF!="Baja",'Mapa final'!#REF!="Moderado"),CONCATENATE("R4C",'Mapa final'!#REF!),"")</f>
        <v>#REF!</v>
      </c>
      <c r="Q159" s="49" t="e">
        <f>IF(AND('Mapa final'!#REF!="Baja",'Mapa final'!#REF!="Moderado"),CONCATENATE("R4C",'Mapa final'!#REF!),"")</f>
        <v>#REF!</v>
      </c>
      <c r="R159" s="108" t="e">
        <f>IF(AND('Mapa final'!#REF!="Baja",'Mapa final'!#REF!="Moderado"),CONCATENATE("R4C",'Mapa final'!#REF!),"")</f>
        <v>#REF!</v>
      </c>
      <c r="S159" s="102" t="e">
        <f>IF(AND('Mapa final'!#REF!="Baja",'Mapa final'!#REF!="Mayor"),CONCATENATE("R4C",'Mapa final'!#REF!),"")</f>
        <v>#REF!</v>
      </c>
      <c r="T159" s="41" t="e">
        <f>IF(AND('Mapa final'!#REF!="Baja",'Mapa final'!#REF!="Mayor"),CONCATENATE("R4C",'Mapa final'!#REF!),"")</f>
        <v>#REF!</v>
      </c>
      <c r="U159" s="103" t="e">
        <f>IF(AND('Mapa final'!#REF!="Baja",'Mapa final'!#REF!="Mayor"),CONCATENATE("R4C",'Mapa final'!#REF!),"")</f>
        <v>#REF!</v>
      </c>
      <c r="V159" s="42" t="e">
        <f>IF(AND('Mapa final'!#REF!="Baja",'Mapa final'!#REF!="Catastrófico"),CONCATENATE("R4C",'Mapa final'!#REF!),"")</f>
        <v>#REF!</v>
      </c>
      <c r="W159" s="43" t="e">
        <f>IF(AND('Mapa final'!#REF!="Baja",'Mapa final'!#REF!="Catastrófico"),CONCATENATE("R4C",'Mapa final'!#REF!),"")</f>
        <v>#REF!</v>
      </c>
      <c r="X159" s="97" t="e">
        <f>IF(AND('Mapa final'!#REF!="Baja",'Mapa final'!#REF!="Catastrófico"),CONCATENATE("R4C",'Mapa final'!#REF!),"")</f>
        <v>#REF!</v>
      </c>
      <c r="Y159" s="55"/>
      <c r="Z159" s="321"/>
      <c r="AA159" s="322"/>
      <c r="AB159" s="322"/>
      <c r="AC159" s="322"/>
      <c r="AD159" s="322"/>
      <c r="AE159" s="323"/>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row>
    <row r="160" spans="1:61" ht="15" customHeight="1" x14ac:dyDescent="0.25">
      <c r="A160" s="55"/>
      <c r="B160" s="316"/>
      <c r="C160" s="316"/>
      <c r="D160" s="317"/>
      <c r="E160" s="304"/>
      <c r="F160" s="305"/>
      <c r="G160" s="305"/>
      <c r="H160" s="305"/>
      <c r="I160" s="305"/>
      <c r="J160" s="112" t="str">
        <f>IF(AND('Mapa final'!$AB$16="Baja",'Mapa final'!$AD$16="Leve"),CONCATENATE("R5C",'Mapa final'!$R$16),"")</f>
        <v/>
      </c>
      <c r="K160" s="53" t="str">
        <f>IF(AND('Mapa final'!$AB$17="Baja",'Mapa final'!$AD$17="Leve"),CONCATENATE("R5C",'Mapa final'!$R$17),"")</f>
        <v/>
      </c>
      <c r="L160" s="113" t="str">
        <f>IF(AND('Mapa final'!$AB$18="Baja",'Mapa final'!$AD$18="Leve"),CONCATENATE("R5C",'Mapa final'!$R$18),"")</f>
        <v/>
      </c>
      <c r="M160" s="48" t="str">
        <f>IF(AND('Mapa final'!$AB$16="Baja",'Mapa final'!$AD$16="Menor"),CONCATENATE("R5C",'Mapa final'!$R$16),"")</f>
        <v/>
      </c>
      <c r="N160" s="49" t="str">
        <f>IF(AND('Mapa final'!$AB$17="Baja",'Mapa final'!$AD$17="Menor"),CONCATENATE("R5C",'Mapa final'!$R$17),"")</f>
        <v/>
      </c>
      <c r="O160" s="108" t="str">
        <f>IF(AND('Mapa final'!$AB$18="Baja",'Mapa final'!$AD$18="Menor"),CONCATENATE("R5C",'Mapa final'!$R$18),"")</f>
        <v/>
      </c>
      <c r="P160" s="48" t="str">
        <f>IF(AND('Mapa final'!$AB$16="Baja",'Mapa final'!$AD$16="Moderado"),CONCATENATE("R5C",'Mapa final'!$R$16),"")</f>
        <v/>
      </c>
      <c r="Q160" s="49" t="str">
        <f>IF(AND('Mapa final'!$AB$17="Baja",'Mapa final'!$AD$17="Moderado"),CONCATENATE("R5C",'Mapa final'!$R$17),"")</f>
        <v/>
      </c>
      <c r="R160" s="108" t="str">
        <f>IF(AND('Mapa final'!$AB$18="Baja",'Mapa final'!$AD$18="Moderado"),CONCATENATE("R5C",'Mapa final'!$R$18),"")</f>
        <v/>
      </c>
      <c r="S160" s="102" t="str">
        <f>IF(AND('Mapa final'!$AB$16="Baja",'Mapa final'!$AD$16="Mayor"),CONCATENATE("R5C",'Mapa final'!$R$16),"")</f>
        <v/>
      </c>
      <c r="T160" s="41" t="str">
        <f>IF(AND('Mapa final'!$AB$17="Baja",'Mapa final'!$AD$17="Mayor"),CONCATENATE("R5C",'Mapa final'!$R$17),"")</f>
        <v/>
      </c>
      <c r="U160" s="103" t="str">
        <f>IF(AND('Mapa final'!$AB$18="Baja",'Mapa final'!$AD$18="Mayor"),CONCATENATE("R5C",'Mapa final'!$R$18),"")</f>
        <v/>
      </c>
      <c r="V160" s="42" t="str">
        <f>IF(AND('Mapa final'!$AB$16="Baja",'Mapa final'!$AD$16="Catastrófico"),CONCATENATE("R5C",'Mapa final'!$R$16),"")</f>
        <v/>
      </c>
      <c r="W160" s="43" t="str">
        <f>IF(AND('Mapa final'!$AB$17="Baja",'Mapa final'!$AD$17="Catastrófico"),CONCATENATE("R5C",'Mapa final'!$R$17),"")</f>
        <v/>
      </c>
      <c r="X160" s="97" t="str">
        <f>IF(AND('Mapa final'!$AB$18="Baja",'Mapa final'!$AD$18="Catastrófico"),CONCATENATE("R5C",'Mapa final'!$R$18),"")</f>
        <v/>
      </c>
      <c r="Y160" s="55"/>
      <c r="Z160" s="321"/>
      <c r="AA160" s="322"/>
      <c r="AB160" s="322"/>
      <c r="AC160" s="322"/>
      <c r="AD160" s="322"/>
      <c r="AE160" s="323"/>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row>
    <row r="161" spans="1:61" ht="15" customHeight="1" x14ac:dyDescent="0.25">
      <c r="A161" s="55"/>
      <c r="B161" s="316"/>
      <c r="C161" s="316"/>
      <c r="D161" s="317"/>
      <c r="E161" s="304"/>
      <c r="F161" s="305"/>
      <c r="G161" s="305"/>
      <c r="H161" s="305"/>
      <c r="I161" s="305"/>
      <c r="J161" s="112" t="str">
        <f>IF(AND('Mapa final'!$AB$19="Baja",'Mapa final'!$AD$19="Leve"),CONCATENATE("R6C",'Mapa final'!$R$19),"")</f>
        <v/>
      </c>
      <c r="K161" s="53" t="str">
        <f>IF(AND('Mapa final'!$AB$20="Baja",'Mapa final'!$AD$20="Leve"),CONCATENATE("R6C",'Mapa final'!$R$20),"")</f>
        <v/>
      </c>
      <c r="L161" s="113" t="str">
        <f>IF(AND('Mapa final'!$AB$21="Baja",'Mapa final'!$AD$21="Leve"),CONCATENATE("R6C",'Mapa final'!$R$21),"")</f>
        <v/>
      </c>
      <c r="M161" s="48" t="str">
        <f>IF(AND('Mapa final'!$AB$19="Baja",'Mapa final'!$AD$19="Menor"),CONCATENATE("R6C",'Mapa final'!$R$19),"")</f>
        <v/>
      </c>
      <c r="N161" s="49" t="str">
        <f>IF(AND('Mapa final'!$AB$20="Baja",'Mapa final'!$AD$20="Menor"),CONCATENATE("R6C",'Mapa final'!$R$20),"")</f>
        <v/>
      </c>
      <c r="O161" s="108" t="str">
        <f>IF(AND('Mapa final'!$AB$21="Baja",'Mapa final'!$AD$21="Menor"),CONCATENATE("R6C",'Mapa final'!$R$21),"")</f>
        <v/>
      </c>
      <c r="P161" s="48" t="str">
        <f>IF(AND('Mapa final'!$AB$19="Baja",'Mapa final'!$AD$19="Moderado"),CONCATENATE("R6C",'Mapa final'!$R$19),"")</f>
        <v/>
      </c>
      <c r="Q161" s="49" t="str">
        <f>IF(AND('Mapa final'!$AB$20="Baja",'Mapa final'!$AD$20="Moderado"),CONCATENATE("R6C",'Mapa final'!$R$20),"")</f>
        <v/>
      </c>
      <c r="R161" s="108" t="str">
        <f>IF(AND('Mapa final'!$AB$21="Baja",'Mapa final'!$AD$21="Moderado"),CONCATENATE("R6C",'Mapa final'!$R$21),"")</f>
        <v/>
      </c>
      <c r="S161" s="102" t="str">
        <f>IF(AND('Mapa final'!$AB$19="Baja",'Mapa final'!$AD$19="Mayor"),CONCATENATE("R6C",'Mapa final'!$R$19),"")</f>
        <v/>
      </c>
      <c r="T161" s="41" t="str">
        <f>IF(AND('Mapa final'!$AB$20="Baja",'Mapa final'!$AD$20="Mayor"),CONCATENATE("R6C",'Mapa final'!$R$20),"")</f>
        <v/>
      </c>
      <c r="U161" s="103" t="str">
        <f>IF(AND('Mapa final'!$AB$21="Baja",'Mapa final'!$AD$21="Mayor"),CONCATENATE("R6C",'Mapa final'!$R$21),"")</f>
        <v/>
      </c>
      <c r="V161" s="42" t="str">
        <f>IF(AND('Mapa final'!$AB$19="Baja",'Mapa final'!$AD$19="Catastrófico"),CONCATENATE("R6C",'Mapa final'!$R$19),"")</f>
        <v/>
      </c>
      <c r="W161" s="43" t="str">
        <f>IF(AND('Mapa final'!$AB$20="Baja",'Mapa final'!$AD$20="Catastrófico"),CONCATENATE("R6C",'Mapa final'!$R$20),"")</f>
        <v/>
      </c>
      <c r="X161" s="97" t="str">
        <f>IF(AND('Mapa final'!$AB$21="Baja",'Mapa final'!$AD$21="Catastrófico"),CONCATENATE("R6C",'Mapa final'!$R$21),"")</f>
        <v/>
      </c>
      <c r="Y161" s="55"/>
      <c r="Z161" s="321"/>
      <c r="AA161" s="322"/>
      <c r="AB161" s="322"/>
      <c r="AC161" s="322"/>
      <c r="AD161" s="322"/>
      <c r="AE161" s="323"/>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row>
    <row r="162" spans="1:61" ht="15" customHeight="1" x14ac:dyDescent="0.25">
      <c r="A162" s="55"/>
      <c r="B162" s="316"/>
      <c r="C162" s="316"/>
      <c r="D162" s="317"/>
      <c r="E162" s="304"/>
      <c r="F162" s="305"/>
      <c r="G162" s="305"/>
      <c r="H162" s="305"/>
      <c r="I162" s="305"/>
      <c r="J162" s="112" t="str">
        <f>IF(AND('Mapa final'!$AB$22="Baja",'Mapa final'!$AD$22="Leve"),CONCATENATE("R7C",'Mapa final'!$R$22),"")</f>
        <v/>
      </c>
      <c r="K162" s="53" t="str">
        <f>IF(AND('Mapa final'!$AB$23="Baja",'Mapa final'!$AD$23="Leve"),CONCATENATE("R7C",'Mapa final'!$R$23),"")</f>
        <v/>
      </c>
      <c r="L162" s="113" t="str">
        <f>IF(AND('Mapa final'!$AB$24="Baja",'Mapa final'!$AD$24="Leve"),CONCATENATE("R7C",'Mapa final'!$R$24),"")</f>
        <v/>
      </c>
      <c r="M162" s="48" t="str">
        <f>IF(AND('Mapa final'!$AB$22="Baja",'Mapa final'!$AD$22="Menor"),CONCATENATE("R7C",'Mapa final'!$R$22),"")</f>
        <v/>
      </c>
      <c r="N162" s="49" t="str">
        <f>IF(AND('Mapa final'!$AB$23="Baja",'Mapa final'!$AD$23="Menor"),CONCATENATE("R7C",'Mapa final'!$R$23),"")</f>
        <v/>
      </c>
      <c r="O162" s="108" t="str">
        <f>IF(AND('Mapa final'!$AB$24="Baja",'Mapa final'!$AD$24="Menor"),CONCATENATE("R7C",'Mapa final'!$R$24),"")</f>
        <v/>
      </c>
      <c r="P162" s="48" t="str">
        <f>IF(AND('Mapa final'!$AB$22="Baja",'Mapa final'!$AD$22="Moderado"),CONCATENATE("R7C",'Mapa final'!$R$22),"")</f>
        <v/>
      </c>
      <c r="Q162" s="49" t="str">
        <f>IF(AND('Mapa final'!$AB$23="Baja",'Mapa final'!$AD$23="Moderado"),CONCATENATE("R7C",'Mapa final'!$R$23),"")</f>
        <v/>
      </c>
      <c r="R162" s="108" t="str">
        <f>IF(AND('Mapa final'!$AB$24="Baja",'Mapa final'!$AD$24="Moderado"),CONCATENATE("R7C",'Mapa final'!$R$24),"")</f>
        <v/>
      </c>
      <c r="S162" s="102" t="str">
        <f>IF(AND('Mapa final'!$AB$22="Baja",'Mapa final'!$AD$22="Mayor"),CONCATENATE("R7C",'Mapa final'!$R$22),"")</f>
        <v/>
      </c>
      <c r="T162" s="41" t="str">
        <f>IF(AND('Mapa final'!$AB$23="Baja",'Mapa final'!$AD$23="Mayor"),CONCATENATE("R7C",'Mapa final'!$R$23),"")</f>
        <v/>
      </c>
      <c r="U162" s="103" t="str">
        <f>IF(AND('Mapa final'!$AB$24="Baja",'Mapa final'!$AD$24="Mayor"),CONCATENATE("R7C",'Mapa final'!$R$24),"")</f>
        <v/>
      </c>
      <c r="V162" s="42" t="str">
        <f>IF(AND('Mapa final'!$AB$22="Baja",'Mapa final'!$AD$22="Catastrófico"),CONCATENATE("R7C",'Mapa final'!$R$22),"")</f>
        <v/>
      </c>
      <c r="W162" s="43" t="str">
        <f>IF(AND('Mapa final'!$AB$23="Baja",'Mapa final'!$AD$23="Catastrófico"),CONCATENATE("R7C",'Mapa final'!$R$23),"")</f>
        <v/>
      </c>
      <c r="X162" s="97" t="str">
        <f>IF(AND('Mapa final'!$AB$24="Baja",'Mapa final'!$AD$24="Catastrófico"),CONCATENATE("R7C",'Mapa final'!$R$24),"")</f>
        <v/>
      </c>
      <c r="Y162" s="55"/>
      <c r="Z162" s="321"/>
      <c r="AA162" s="322"/>
      <c r="AB162" s="322"/>
      <c r="AC162" s="322"/>
      <c r="AD162" s="322"/>
      <c r="AE162" s="323"/>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row>
    <row r="163" spans="1:61" ht="15" customHeight="1" x14ac:dyDescent="0.25">
      <c r="A163" s="55"/>
      <c r="B163" s="316"/>
      <c r="C163" s="316"/>
      <c r="D163" s="317"/>
      <c r="E163" s="304"/>
      <c r="F163" s="305"/>
      <c r="G163" s="305"/>
      <c r="H163" s="305"/>
      <c r="I163" s="305"/>
      <c r="J163" s="112" t="str">
        <f>IF(AND('Mapa final'!$AB$25="Baja",'Mapa final'!$AD$25="Leve"),CONCATENATE("R8C",'Mapa final'!$R$25),"")</f>
        <v/>
      </c>
      <c r="K163" s="53" t="str">
        <f>IF(AND('Mapa final'!$AB$26="Baja",'Mapa final'!$AD$26="Leve"),CONCATENATE("R8C",'Mapa final'!$R$26),"")</f>
        <v/>
      </c>
      <c r="L163" s="113" t="str">
        <f>IF(AND('Mapa final'!$AB$27="Baja",'Mapa final'!$AD$27="Leve"),CONCATENATE("R8C",'Mapa final'!$R$27),"")</f>
        <v/>
      </c>
      <c r="M163" s="48" t="str">
        <f>IF(AND('Mapa final'!$AB$25="Baja",'Mapa final'!$AD$25="Menor"),CONCATENATE("R8C",'Mapa final'!$R$25),"")</f>
        <v/>
      </c>
      <c r="N163" s="49" t="str">
        <f>IF(AND('Mapa final'!$AB$26="Baja",'Mapa final'!$AD$26="Menor"),CONCATENATE("R8C",'Mapa final'!$R$26),"")</f>
        <v/>
      </c>
      <c r="O163" s="108" t="str">
        <f>IF(AND('Mapa final'!$AB$27="Baja",'Mapa final'!$AD$27="Menor"),CONCATENATE("R8C",'Mapa final'!$R$27),"")</f>
        <v/>
      </c>
      <c r="P163" s="48" t="str">
        <f>IF(AND('Mapa final'!$AB$25="Baja",'Mapa final'!$AD$25="Moderado"),CONCATENATE("R8C",'Mapa final'!$R$25),"")</f>
        <v/>
      </c>
      <c r="Q163" s="49" t="str">
        <f>IF(AND('Mapa final'!$AB$26="Baja",'Mapa final'!$AD$26="Moderado"),CONCATENATE("R8C",'Mapa final'!$R$26),"")</f>
        <v/>
      </c>
      <c r="R163" s="108" t="str">
        <f>IF(AND('Mapa final'!$AB$27="Baja",'Mapa final'!$AD$27="Moderado"),CONCATENATE("R8C",'Mapa final'!$R$27),"")</f>
        <v/>
      </c>
      <c r="S163" s="102" t="str">
        <f>IF(AND('Mapa final'!$AB$25="Baja",'Mapa final'!$AD$25="Mayor"),CONCATENATE("R8C",'Mapa final'!$R$25),"")</f>
        <v/>
      </c>
      <c r="T163" s="41" t="str">
        <f>IF(AND('Mapa final'!$AB$26="Baja",'Mapa final'!$AD$26="Mayor"),CONCATENATE("R8C",'Mapa final'!$R$26),"")</f>
        <v/>
      </c>
      <c r="U163" s="103" t="str">
        <f>IF(AND('Mapa final'!$AB$27="Baja",'Mapa final'!$AD$27="Mayor"),CONCATENATE("R8C",'Mapa final'!$R$27),"")</f>
        <v/>
      </c>
      <c r="V163" s="42" t="str">
        <f>IF(AND('Mapa final'!$AB$25="Baja",'Mapa final'!$AD$25="Catastrófico"),CONCATENATE("R8C",'Mapa final'!$R$25),"")</f>
        <v/>
      </c>
      <c r="W163" s="43" t="str">
        <f>IF(AND('Mapa final'!$AB$26="Baja",'Mapa final'!$AD$26="Catastrófico"),CONCATENATE("R8C",'Mapa final'!$R$26),"")</f>
        <v/>
      </c>
      <c r="X163" s="97" t="str">
        <f>IF(AND('Mapa final'!$AB$27="Baja",'Mapa final'!$AD$27="Catastrófico"),CONCATENATE("R8C",'Mapa final'!$R$27),"")</f>
        <v/>
      </c>
      <c r="Y163" s="55"/>
      <c r="Z163" s="321"/>
      <c r="AA163" s="322"/>
      <c r="AB163" s="322"/>
      <c r="AC163" s="322"/>
      <c r="AD163" s="322"/>
      <c r="AE163" s="323"/>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row>
    <row r="164" spans="1:61" ht="15" customHeight="1" x14ac:dyDescent="0.25">
      <c r="A164" s="55"/>
      <c r="B164" s="316"/>
      <c r="C164" s="316"/>
      <c r="D164" s="317"/>
      <c r="E164" s="304"/>
      <c r="F164" s="305"/>
      <c r="G164" s="305"/>
      <c r="H164" s="305"/>
      <c r="I164" s="305"/>
      <c r="J164" s="112" t="str">
        <f>IF(AND('Mapa final'!$AB$28="Baja",'Mapa final'!$AD$28="Leve"),CONCATENATE("R9C",'Mapa final'!$R$28),"")</f>
        <v/>
      </c>
      <c r="K164" s="53" t="str">
        <f>IF(AND('Mapa final'!$AB$29="Baja",'Mapa final'!$AD$29="Leve"),CONCATENATE("R9C",'Mapa final'!$R$29),"")</f>
        <v/>
      </c>
      <c r="L164" s="113" t="str">
        <f>IF(AND('Mapa final'!$AB$30="Baja",'Mapa final'!$AD$30="Leve"),CONCATENATE("R9C",'Mapa final'!$R$30),"")</f>
        <v/>
      </c>
      <c r="M164" s="48" t="str">
        <f>IF(AND('Mapa final'!$AB$28="Baja",'Mapa final'!$AD$28="Menor"),CONCATENATE("R9C",'Mapa final'!$R$28),"")</f>
        <v/>
      </c>
      <c r="N164" s="49" t="str">
        <f>IF(AND('Mapa final'!$AB$29="Baja",'Mapa final'!$AD$29="Menor"),CONCATENATE("R9C",'Mapa final'!$R$29),"")</f>
        <v/>
      </c>
      <c r="O164" s="108" t="str">
        <f>IF(AND('Mapa final'!$AB$30="Baja",'Mapa final'!$AD$30="Menor"),CONCATENATE("R9C",'Mapa final'!$R$30),"")</f>
        <v/>
      </c>
      <c r="P164" s="48" t="str">
        <f>IF(AND('Mapa final'!$AB$28="Baja",'Mapa final'!$AD$28="Moderado"),CONCATENATE("R9C",'Mapa final'!$R$28),"")</f>
        <v/>
      </c>
      <c r="Q164" s="49" t="str">
        <f>IF(AND('Mapa final'!$AB$29="Baja",'Mapa final'!$AD$29="Moderado"),CONCATENATE("R9C",'Mapa final'!$R$29),"")</f>
        <v/>
      </c>
      <c r="R164" s="108" t="str">
        <f>IF(AND('Mapa final'!$AB$30="Baja",'Mapa final'!$AD$30="Moderado"),CONCATENATE("R9C",'Mapa final'!$R$30),"")</f>
        <v/>
      </c>
      <c r="S164" s="102" t="str">
        <f>IF(AND('Mapa final'!$AB$28="Baja",'Mapa final'!$AD$28="Mayor"),CONCATENATE("R9C",'Mapa final'!$R$28),"")</f>
        <v/>
      </c>
      <c r="T164" s="41" t="str">
        <f>IF(AND('Mapa final'!$AB$29="Baja",'Mapa final'!$AD$29="Mayor"),CONCATENATE("R9C",'Mapa final'!$R$29),"")</f>
        <v>R9C2</v>
      </c>
      <c r="U164" s="103" t="str">
        <f>IF(AND('Mapa final'!$AB$30="Baja",'Mapa final'!$AD$30="Mayor"),CONCATENATE("R9C",'Mapa final'!$R$30),"")</f>
        <v/>
      </c>
      <c r="V164" s="42" t="str">
        <f>IF(AND('Mapa final'!$AB$28="Baja",'Mapa final'!$AD$28="Catastrófico"),CONCATENATE("R9C",'Mapa final'!$R$28),"")</f>
        <v/>
      </c>
      <c r="W164" s="43" t="str">
        <f>IF(AND('Mapa final'!$AB$29="Baja",'Mapa final'!$AD$29="Catastrófico"),CONCATENATE("R9C",'Mapa final'!$R$29),"")</f>
        <v/>
      </c>
      <c r="X164" s="97" t="str">
        <f>IF(AND('Mapa final'!$AB$30="Baja",'Mapa final'!$AD$30="Catastrófico"),CONCATENATE("R9C",'Mapa final'!$R$30),"")</f>
        <v/>
      </c>
      <c r="Y164" s="55"/>
      <c r="Z164" s="321"/>
      <c r="AA164" s="322"/>
      <c r="AB164" s="322"/>
      <c r="AC164" s="322"/>
      <c r="AD164" s="322"/>
      <c r="AE164" s="323"/>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row>
    <row r="165" spans="1:61" ht="15" customHeight="1" x14ac:dyDescent="0.25">
      <c r="A165" s="55"/>
      <c r="B165" s="316"/>
      <c r="C165" s="316"/>
      <c r="D165" s="317"/>
      <c r="E165" s="304"/>
      <c r="F165" s="305"/>
      <c r="G165" s="305"/>
      <c r="H165" s="305"/>
      <c r="I165" s="305"/>
      <c r="J165" s="112" t="str">
        <f>IF(AND('Mapa final'!$AB$31="Baja",'Mapa final'!$AD$31="Leve"),CONCATENATE("R10C",'Mapa final'!$R$31),"")</f>
        <v/>
      </c>
      <c r="K165" s="53" t="str">
        <f>IF(AND('Mapa final'!$AB$32="Baja",'Mapa final'!$AD$32="Leve"),CONCATENATE("R10C",'Mapa final'!$R$32),"")</f>
        <v/>
      </c>
      <c r="L165" s="113" t="str">
        <f>IF(AND('Mapa final'!$AB$33="Baja",'Mapa final'!$AD$33="Leve"),CONCATENATE("R10C",'Mapa final'!$R$33),"")</f>
        <v/>
      </c>
      <c r="M165" s="48" t="str">
        <f>IF(AND('Mapa final'!$AB$31="Baja",'Mapa final'!$AD$31="Menor"),CONCATENATE("R10C",'Mapa final'!$R$31),"")</f>
        <v/>
      </c>
      <c r="N165" s="49" t="str">
        <f>IF(AND('Mapa final'!$AB$32="Baja",'Mapa final'!$AD$32="Menor"),CONCATENATE("R10C",'Mapa final'!$R$32),"")</f>
        <v/>
      </c>
      <c r="O165" s="108" t="str">
        <f>IF(AND('Mapa final'!$AB$33="Baja",'Mapa final'!$AD$33="Menor"),CONCATENATE("R10C",'Mapa final'!$R$33),"")</f>
        <v/>
      </c>
      <c r="P165" s="48" t="str">
        <f>IF(AND('Mapa final'!$AB$31="Baja",'Mapa final'!$AD$31="Moderado"),CONCATENATE("R10C",'Mapa final'!$R$31),"")</f>
        <v/>
      </c>
      <c r="Q165" s="49" t="str">
        <f>IF(AND('Mapa final'!$AB$32="Baja",'Mapa final'!$AD$32="Moderado"),CONCATENATE("R10C",'Mapa final'!$R$32),"")</f>
        <v>R10C2</v>
      </c>
      <c r="R165" s="108" t="str">
        <f>IF(AND('Mapa final'!$AB$33="Baja",'Mapa final'!$AD$33="Moderado"),CONCATENATE("R10C",'Mapa final'!$R$33),"")</f>
        <v>R10C3</v>
      </c>
      <c r="S165" s="102" t="str">
        <f>IF(AND('Mapa final'!$AB$31="Baja",'Mapa final'!$AD$31="Mayor"),CONCATENATE("R10C",'Mapa final'!$R$31),"")</f>
        <v/>
      </c>
      <c r="T165" s="41" t="str">
        <f>IF(AND('Mapa final'!$AB$32="Baja",'Mapa final'!$AD$32="Mayor"),CONCATENATE("R10C",'Mapa final'!$R$32),"")</f>
        <v/>
      </c>
      <c r="U165" s="103" t="str">
        <f>IF(AND('Mapa final'!$AB$33="Baja",'Mapa final'!$AD$33="Mayor"),CONCATENATE("R10C",'Mapa final'!$R$33),"")</f>
        <v/>
      </c>
      <c r="V165" s="42" t="str">
        <f>IF(AND('Mapa final'!$AB$31="Baja",'Mapa final'!$AD$31="Catastrófico"),CONCATENATE("R10C",'Mapa final'!$R$31),"")</f>
        <v/>
      </c>
      <c r="W165" s="43" t="str">
        <f>IF(AND('Mapa final'!$AB$32="Baja",'Mapa final'!$AD$32="Catastrófico"),CONCATENATE("R10C",'Mapa final'!$R$32),"")</f>
        <v/>
      </c>
      <c r="X165" s="97" t="str">
        <f>IF(AND('Mapa final'!$AB$33="Baja",'Mapa final'!$AD$33="Catastrófico"),CONCATENATE("R10C",'Mapa final'!$R$33),"")</f>
        <v/>
      </c>
      <c r="Y165" s="55"/>
      <c r="Z165" s="321"/>
      <c r="AA165" s="322"/>
      <c r="AB165" s="322"/>
      <c r="AC165" s="322"/>
      <c r="AD165" s="322"/>
      <c r="AE165" s="323"/>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row>
    <row r="166" spans="1:61" ht="15" customHeight="1" x14ac:dyDescent="0.25">
      <c r="A166" s="55"/>
      <c r="B166" s="316"/>
      <c r="C166" s="316"/>
      <c r="D166" s="317"/>
      <c r="E166" s="304"/>
      <c r="F166" s="305"/>
      <c r="G166" s="305"/>
      <c r="H166" s="305"/>
      <c r="I166" s="305"/>
      <c r="J166" s="112" t="str">
        <f>IF(AND('Mapa final'!$AB$34="Baja",'Mapa final'!$AD$34="Leve"),CONCATENATE("R11C",'Mapa final'!$R$34),"")</f>
        <v/>
      </c>
      <c r="K166" s="53" t="str">
        <f>IF(AND('Mapa final'!$AB$35="Baja",'Mapa final'!$AD$35="Leve"),CONCATENATE("R11C",'Mapa final'!$R$35),"")</f>
        <v/>
      </c>
      <c r="L166" s="113" t="str">
        <f>IF(AND('Mapa final'!$AB$36="Baja",'Mapa final'!$AD$36="Leve"),CONCATENATE("R11C",'Mapa final'!$R$36),"")</f>
        <v/>
      </c>
      <c r="M166" s="48" t="str">
        <f>IF(AND('Mapa final'!$AB$34="Baja",'Mapa final'!$AD$34="Menor"),CONCATENATE("R11C",'Mapa final'!$R$34),"")</f>
        <v/>
      </c>
      <c r="N166" s="49" t="str">
        <f>IF(AND('Mapa final'!$AB$35="Baja",'Mapa final'!$AD$35="Menor"),CONCATENATE("R11C",'Mapa final'!$R$35),"")</f>
        <v/>
      </c>
      <c r="O166" s="108" t="str">
        <f>IF(AND('Mapa final'!$AB$36="Baja",'Mapa final'!$AD$36="Menor"),CONCATENATE("R11C",'Mapa final'!$R$36),"")</f>
        <v/>
      </c>
      <c r="P166" s="48" t="str">
        <f>IF(AND('Mapa final'!$AB$34="Baja",'Mapa final'!$AD$34="Moderado"),CONCATENATE("R11C",'Mapa final'!$R$34),"")</f>
        <v/>
      </c>
      <c r="Q166" s="49" t="str">
        <f>IF(AND('Mapa final'!$AB$35="Baja",'Mapa final'!$AD$35="Moderado"),CONCATENATE("R11C",'Mapa final'!$R$35),"")</f>
        <v/>
      </c>
      <c r="R166" s="108" t="str">
        <f>IF(AND('Mapa final'!$AB$36="Baja",'Mapa final'!$AD$36="Moderado"),CONCATENATE("R11C",'Mapa final'!$R$36),"")</f>
        <v/>
      </c>
      <c r="S166" s="102" t="str">
        <f>IF(AND('Mapa final'!$AB$34="Baja",'Mapa final'!$AD$34="Mayor"),CONCATENATE("R11C",'Mapa final'!$R$34),"")</f>
        <v>R11C1</v>
      </c>
      <c r="T166" s="41" t="str">
        <f>IF(AND('Mapa final'!$AB$35="Baja",'Mapa final'!$AD$35="Mayor"),CONCATENATE("R11C",'Mapa final'!$R$35),"")</f>
        <v/>
      </c>
      <c r="U166" s="103" t="str">
        <f>IF(AND('Mapa final'!$AB$36="Baja",'Mapa final'!$AD$36="Mayor"),CONCATENATE("R11C",'Mapa final'!$R$36),"")</f>
        <v/>
      </c>
      <c r="V166" s="42" t="str">
        <f>IF(AND('Mapa final'!$AB$34="Baja",'Mapa final'!$AD$34="Catastrófico"),CONCATENATE("R11C",'Mapa final'!$R$34),"")</f>
        <v/>
      </c>
      <c r="W166" s="43" t="str">
        <f>IF(AND('Mapa final'!$AB$35="Baja",'Mapa final'!$AD$35="Catastrófico"),CONCATENATE("R11C",'Mapa final'!$R$35),"")</f>
        <v/>
      </c>
      <c r="X166" s="97" t="str">
        <f>IF(AND('Mapa final'!$AB$36="Baja",'Mapa final'!$AD$36="Catastrófico"),CONCATENATE("R11C",'Mapa final'!$R$36),"")</f>
        <v/>
      </c>
      <c r="Y166" s="55"/>
      <c r="Z166" s="321"/>
      <c r="AA166" s="322"/>
      <c r="AB166" s="322"/>
      <c r="AC166" s="322"/>
      <c r="AD166" s="322"/>
      <c r="AE166" s="323"/>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row>
    <row r="167" spans="1:61" ht="15" customHeight="1" x14ac:dyDescent="0.25">
      <c r="A167" s="55"/>
      <c r="B167" s="316"/>
      <c r="C167" s="316"/>
      <c r="D167" s="317"/>
      <c r="E167" s="304"/>
      <c r="F167" s="305"/>
      <c r="G167" s="305"/>
      <c r="H167" s="305"/>
      <c r="I167" s="305"/>
      <c r="J167" s="112" t="str">
        <f>IF(AND('Mapa final'!$AB$37="Baja",'Mapa final'!$AD$37="Leve"),CONCATENATE("R12C",'Mapa final'!$R$37),"")</f>
        <v/>
      </c>
      <c r="K167" s="53" t="str">
        <f>IF(AND('Mapa final'!$AB$38="Baja",'Mapa final'!$AD$38="Leve"),CONCATENATE("R12C",'Mapa final'!$R$38),"")</f>
        <v/>
      </c>
      <c r="L167" s="113" t="str">
        <f>IF(AND('Mapa final'!$AB$39="Baja",'Mapa final'!$AD$39="Leve"),CONCATENATE("R12C",'Mapa final'!$R$39),"")</f>
        <v/>
      </c>
      <c r="M167" s="48" t="str">
        <f>IF(AND('Mapa final'!$AB$37="Baja",'Mapa final'!$AD$37="Menor"),CONCATENATE("R12C",'Mapa final'!$R$37),"")</f>
        <v/>
      </c>
      <c r="N167" s="49" t="str">
        <f>IF(AND('Mapa final'!$AB$38="Baja",'Mapa final'!$AD$38="Menor"),CONCATENATE("R12C",'Mapa final'!$R$38),"")</f>
        <v/>
      </c>
      <c r="O167" s="108" t="str">
        <f>IF(AND('Mapa final'!$AB$39="Baja",'Mapa final'!$AD$39="Menor"),CONCATENATE("R12C",'Mapa final'!$R$39),"")</f>
        <v/>
      </c>
      <c r="P167" s="48" t="str">
        <f>IF(AND('Mapa final'!$AB$37="Baja",'Mapa final'!$AD$37="Moderado"),CONCATENATE("R12C",'Mapa final'!$R$37),"")</f>
        <v>R12C1</v>
      </c>
      <c r="Q167" s="49" t="str">
        <f>IF(AND('Mapa final'!$AB$38="Baja",'Mapa final'!$AD$38="Moderado"),CONCATENATE("R12C",'Mapa final'!$R$38),"")</f>
        <v/>
      </c>
      <c r="R167" s="108" t="str">
        <f>IF(AND('Mapa final'!$AB$39="Baja",'Mapa final'!$AD$39="Moderado"),CONCATENATE("R12C",'Mapa final'!$R$39),"")</f>
        <v/>
      </c>
      <c r="S167" s="102" t="str">
        <f>IF(AND('Mapa final'!$AB$37="Baja",'Mapa final'!$AD$37="Mayor"),CONCATENATE("R12C",'Mapa final'!$R$37),"")</f>
        <v/>
      </c>
      <c r="T167" s="41" t="str">
        <f>IF(AND('Mapa final'!$AB$38="Baja",'Mapa final'!$AD$38="Mayor"),CONCATENATE("R12C",'Mapa final'!$R$38),"")</f>
        <v/>
      </c>
      <c r="U167" s="103" t="str">
        <f>IF(AND('Mapa final'!$AB$39="Baja",'Mapa final'!$AD$39="Mayor"),CONCATENATE("R12C",'Mapa final'!$R$39),"")</f>
        <v/>
      </c>
      <c r="V167" s="42" t="str">
        <f>IF(AND('Mapa final'!$AB$37="Baja",'Mapa final'!$AD$37="Catastrófico"),CONCATENATE("R12C",'Mapa final'!$R$37),"")</f>
        <v/>
      </c>
      <c r="W167" s="43" t="str">
        <f>IF(AND('Mapa final'!$AB$38="Baja",'Mapa final'!$AD$38="Catastrófico"),CONCATENATE("R12C",'Mapa final'!$R$38),"")</f>
        <v/>
      </c>
      <c r="X167" s="97" t="str">
        <f>IF(AND('Mapa final'!$AB$39="Baja",'Mapa final'!$AD$39="Catastrófico"),CONCATENATE("R12C",'Mapa final'!$R$39),"")</f>
        <v/>
      </c>
      <c r="Y167" s="55"/>
      <c r="Z167" s="321"/>
      <c r="AA167" s="322"/>
      <c r="AB167" s="322"/>
      <c r="AC167" s="322"/>
      <c r="AD167" s="322"/>
      <c r="AE167" s="323"/>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row>
    <row r="168" spans="1:61" ht="15" customHeight="1" x14ac:dyDescent="0.25">
      <c r="A168" s="55"/>
      <c r="B168" s="316"/>
      <c r="C168" s="316"/>
      <c r="D168" s="317"/>
      <c r="E168" s="304"/>
      <c r="F168" s="305"/>
      <c r="G168" s="305"/>
      <c r="H168" s="305"/>
      <c r="I168" s="305"/>
      <c r="J168" s="112" t="str">
        <f>IF(AND('Mapa final'!$AB$40="Baja",'Mapa final'!$AD$40="Leve"),CONCATENATE("R13C",'Mapa final'!$R$40),"")</f>
        <v/>
      </c>
      <c r="K168" s="53" t="str">
        <f>IF(AND('Mapa final'!$AB$41="Baja",'Mapa final'!$AD$41="Leve"),CONCATENATE("R13C",'Mapa final'!$R$41),"")</f>
        <v/>
      </c>
      <c r="L168" s="113" t="str">
        <f>IF(AND('Mapa final'!$AB$42="Baja",'Mapa final'!$AD$42="Leve"),CONCATENATE("R13C",'Mapa final'!$R$42),"")</f>
        <v/>
      </c>
      <c r="M168" s="48" t="str">
        <f>IF(AND('Mapa final'!$AB$40="Baja",'Mapa final'!$AD$40="Menor"),CONCATENATE("R13C",'Mapa final'!$R$40),"")</f>
        <v/>
      </c>
      <c r="N168" s="49" t="str">
        <f>IF(AND('Mapa final'!$AB$41="Baja",'Mapa final'!$AD$41="Menor"),CONCATENATE("R13C",'Mapa final'!$R$41),"")</f>
        <v/>
      </c>
      <c r="O168" s="108" t="str">
        <f>IF(AND('Mapa final'!$AB$42="Baja",'Mapa final'!$AD$42="Menor"),CONCATENATE("R13C",'Mapa final'!$R$42),"")</f>
        <v/>
      </c>
      <c r="P168" s="48" t="str">
        <f>IF(AND('Mapa final'!$AB$40="Baja",'Mapa final'!$AD$40="Moderado"),CONCATENATE("R13C",'Mapa final'!$R$40),"")</f>
        <v/>
      </c>
      <c r="Q168" s="49" t="str">
        <f>IF(AND('Mapa final'!$AB$41="Baja",'Mapa final'!$AD$41="Moderado"),CONCATENATE("R13C",'Mapa final'!$R$41),"")</f>
        <v/>
      </c>
      <c r="R168" s="108" t="str">
        <f>IF(AND('Mapa final'!$AB$42="Baja",'Mapa final'!$AD$42="Moderado"),CONCATENATE("R13C",'Mapa final'!$R$42),"")</f>
        <v/>
      </c>
      <c r="S168" s="102" t="str">
        <f>IF(AND('Mapa final'!$AB$40="Baja",'Mapa final'!$AD$40="Mayor"),CONCATENATE("R13C",'Mapa final'!$R$40),"")</f>
        <v/>
      </c>
      <c r="T168" s="41" t="str">
        <f>IF(AND('Mapa final'!$AB$41="Baja",'Mapa final'!$AD$41="Mayor"),CONCATENATE("R13C",'Mapa final'!$R$41),"")</f>
        <v/>
      </c>
      <c r="U168" s="103" t="str">
        <f>IF(AND('Mapa final'!$AB$42="Baja",'Mapa final'!$AD$42="Mayor"),CONCATENATE("R13C",'Mapa final'!$R$42),"")</f>
        <v/>
      </c>
      <c r="V168" s="42" t="str">
        <f>IF(AND('Mapa final'!$AB$40="Baja",'Mapa final'!$AD$40="Catastrófico"),CONCATENATE("R13C",'Mapa final'!$R$40),"")</f>
        <v/>
      </c>
      <c r="W168" s="43" t="str">
        <f>IF(AND('Mapa final'!$AB$41="Baja",'Mapa final'!$AD$41="Catastrófico"),CONCATENATE("R13C",'Mapa final'!$R$41),"")</f>
        <v/>
      </c>
      <c r="X168" s="97" t="str">
        <f>IF(AND('Mapa final'!$AB$42="Baja",'Mapa final'!$AD$42="Catastrófico"),CONCATENATE("R13C",'Mapa final'!$R$42),"")</f>
        <v/>
      </c>
      <c r="Y168" s="55"/>
      <c r="Z168" s="321"/>
      <c r="AA168" s="322"/>
      <c r="AB168" s="322"/>
      <c r="AC168" s="322"/>
      <c r="AD168" s="322"/>
      <c r="AE168" s="323"/>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row>
    <row r="169" spans="1:61" ht="15" customHeight="1" x14ac:dyDescent="0.25">
      <c r="A169" s="55"/>
      <c r="B169" s="316"/>
      <c r="C169" s="316"/>
      <c r="D169" s="317"/>
      <c r="E169" s="304"/>
      <c r="F169" s="305"/>
      <c r="G169" s="305"/>
      <c r="H169" s="305"/>
      <c r="I169" s="305"/>
      <c r="J169" s="112" t="str">
        <f>IF(AND('Mapa final'!$AB$43="Baja",'Mapa final'!$AD$43="Leve"),CONCATENATE("R14C",'Mapa final'!$R$43),"")</f>
        <v/>
      </c>
      <c r="K169" s="53" t="str">
        <f>IF(AND('Mapa final'!$AB$44="Baja",'Mapa final'!$AD$44="Leve"),CONCATENATE("R14C",'Mapa final'!$R$44),"")</f>
        <v/>
      </c>
      <c r="L169" s="113" t="str">
        <f>IF(AND('Mapa final'!$AB$45="Baja",'Mapa final'!$AD$45="Leve"),CONCATENATE("R14C",'Mapa final'!$R$45),"")</f>
        <v/>
      </c>
      <c r="M169" s="48" t="str">
        <f>IF(AND('Mapa final'!$AB$43="Baja",'Mapa final'!$AD$43="Menor"),CONCATENATE("R14C",'Mapa final'!$R$43),"")</f>
        <v/>
      </c>
      <c r="N169" s="49" t="str">
        <f>IF(AND('Mapa final'!$AB$44="Baja",'Mapa final'!$AD$44="Menor"),CONCATENATE("R14C",'Mapa final'!$R$44),"")</f>
        <v/>
      </c>
      <c r="O169" s="108" t="str">
        <f>IF(AND('Mapa final'!$AB$45="Baja",'Mapa final'!$AD$45="Menor"),CONCATENATE("R14C",'Mapa final'!$R$45),"")</f>
        <v/>
      </c>
      <c r="P169" s="48" t="str">
        <f>IF(AND('Mapa final'!$AB$43="Baja",'Mapa final'!$AD$43="Moderado"),CONCATENATE("R14C",'Mapa final'!$R$43),"")</f>
        <v>R14C1</v>
      </c>
      <c r="Q169" s="49" t="str">
        <f>IF(AND('Mapa final'!$AB$44="Baja",'Mapa final'!$AD$44="Moderado"),CONCATENATE("R14C",'Mapa final'!$R$44),"")</f>
        <v/>
      </c>
      <c r="R169" s="108" t="str">
        <f>IF(AND('Mapa final'!$AB$45="Baja",'Mapa final'!$AD$45="Moderado"),CONCATENATE("R14C",'Mapa final'!$R$45),"")</f>
        <v/>
      </c>
      <c r="S169" s="102" t="str">
        <f>IF(AND('Mapa final'!$AB$43="Baja",'Mapa final'!$AD$43="Mayor"),CONCATENATE("R14C",'Mapa final'!$R$43),"")</f>
        <v/>
      </c>
      <c r="T169" s="41" t="str">
        <f>IF(AND('Mapa final'!$AB$44="Baja",'Mapa final'!$AD$44="Mayor"),CONCATENATE("R14C",'Mapa final'!$R$44),"")</f>
        <v/>
      </c>
      <c r="U169" s="103" t="str">
        <f>IF(AND('Mapa final'!$AB$45="Baja",'Mapa final'!$AD$45="Mayor"),CONCATENATE("R14C",'Mapa final'!$R$45),"")</f>
        <v/>
      </c>
      <c r="V169" s="42" t="str">
        <f>IF(AND('Mapa final'!$AB$43="Baja",'Mapa final'!$AD$43="Catastrófico"),CONCATENATE("R14C",'Mapa final'!$R$43),"")</f>
        <v/>
      </c>
      <c r="W169" s="43" t="str">
        <f>IF(AND('Mapa final'!$AB$44="Baja",'Mapa final'!$AD$44="Catastrófico"),CONCATENATE("R14C",'Mapa final'!$R$44),"")</f>
        <v/>
      </c>
      <c r="X169" s="97" t="str">
        <f>IF(AND('Mapa final'!$AB$45="Baja",'Mapa final'!$AD$45="Catastrófico"),CONCATENATE("R14C",'Mapa final'!$R$45),"")</f>
        <v/>
      </c>
      <c r="Y169" s="55"/>
      <c r="Z169" s="321"/>
      <c r="AA169" s="322"/>
      <c r="AB169" s="322"/>
      <c r="AC169" s="322"/>
      <c r="AD169" s="322"/>
      <c r="AE169" s="323"/>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row>
    <row r="170" spans="1:61" ht="15" customHeight="1" x14ac:dyDescent="0.25">
      <c r="A170" s="55"/>
      <c r="B170" s="316"/>
      <c r="C170" s="316"/>
      <c r="D170" s="317"/>
      <c r="E170" s="304"/>
      <c r="F170" s="305"/>
      <c r="G170" s="305"/>
      <c r="H170" s="305"/>
      <c r="I170" s="305"/>
      <c r="J170" s="112" t="str">
        <f>IF(AND('Mapa final'!$AB$46="Baja",'Mapa final'!$AD$46="Leve"),CONCATENATE("R15C",'Mapa final'!$R$46),"")</f>
        <v/>
      </c>
      <c r="K170" s="53" t="str">
        <f>IF(AND('Mapa final'!$AB$47="Baja",'Mapa final'!$AD$47="Leve"),CONCATENATE("R15C",'Mapa final'!$R$47),"")</f>
        <v/>
      </c>
      <c r="L170" s="113" t="str">
        <f>IF(AND('Mapa final'!$AB$48="Baja",'Mapa final'!$AD$48="Leve"),CONCATENATE("R15C",'Mapa final'!$R$48),"")</f>
        <v/>
      </c>
      <c r="M170" s="48" t="str">
        <f>IF(AND('Mapa final'!$AB$46="Baja",'Mapa final'!$AD$46="Menor"),CONCATENATE("R15C",'Mapa final'!$R$46),"")</f>
        <v/>
      </c>
      <c r="N170" s="49" t="str">
        <f>IF(AND('Mapa final'!$AB$47="Baja",'Mapa final'!$AD$47="Menor"),CONCATENATE("R15C",'Mapa final'!$R$47),"")</f>
        <v/>
      </c>
      <c r="O170" s="108" t="str">
        <f>IF(AND('Mapa final'!$AB$48="Baja",'Mapa final'!$AD$48="Menor"),CONCATENATE("R15C",'Mapa final'!$R$48),"")</f>
        <v/>
      </c>
      <c r="P170" s="48" t="str">
        <f>IF(AND('Mapa final'!$AB$46="Baja",'Mapa final'!$AD$46="Moderado"),CONCATENATE("R15C",'Mapa final'!$R$46),"")</f>
        <v/>
      </c>
      <c r="Q170" s="49" t="str">
        <f>IF(AND('Mapa final'!$AB$47="Baja",'Mapa final'!$AD$47="Moderado"),CONCATENATE("R15C",'Mapa final'!$R$47),"")</f>
        <v/>
      </c>
      <c r="R170" s="108" t="str">
        <f>IF(AND('Mapa final'!$AB$48="Baja",'Mapa final'!$AD$48="Moderado"),CONCATENATE("R15C",'Mapa final'!$R$48),"")</f>
        <v/>
      </c>
      <c r="S170" s="102" t="str">
        <f>IF(AND('Mapa final'!$AB$46="Baja",'Mapa final'!$AD$46="Mayor"),CONCATENATE("R15C",'Mapa final'!$R$46),"")</f>
        <v/>
      </c>
      <c r="T170" s="41" t="str">
        <f>IF(AND('Mapa final'!$AB$47="Baja",'Mapa final'!$AD$47="Mayor"),CONCATENATE("R15C",'Mapa final'!$R$47),"")</f>
        <v/>
      </c>
      <c r="U170" s="103" t="str">
        <f>IF(AND('Mapa final'!$AB$48="Baja",'Mapa final'!$AD$48="Mayor"),CONCATENATE("R15C",'Mapa final'!$R$48),"")</f>
        <v/>
      </c>
      <c r="V170" s="42" t="str">
        <f>IF(AND('Mapa final'!$AB$46="Baja",'Mapa final'!$AD$46="Catastrófico"),CONCATENATE("R15C",'Mapa final'!$R$46),"")</f>
        <v/>
      </c>
      <c r="W170" s="43" t="str">
        <f>IF(AND('Mapa final'!$AB$47="Baja",'Mapa final'!$AD$47="Catastrófico"),CONCATENATE("R15C",'Mapa final'!$R$47),"")</f>
        <v/>
      </c>
      <c r="X170" s="97" t="str">
        <f>IF(AND('Mapa final'!$AB$48="Baja",'Mapa final'!$AD$48="Catastrófico"),CONCATENATE("R15C",'Mapa final'!$R$48),"")</f>
        <v/>
      </c>
      <c r="Y170" s="55"/>
      <c r="Z170" s="321"/>
      <c r="AA170" s="322"/>
      <c r="AB170" s="322"/>
      <c r="AC170" s="322"/>
      <c r="AD170" s="322"/>
      <c r="AE170" s="323"/>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row>
    <row r="171" spans="1:61" ht="15" customHeight="1" x14ac:dyDescent="0.25">
      <c r="A171" s="55"/>
      <c r="B171" s="316"/>
      <c r="C171" s="316"/>
      <c r="D171" s="317"/>
      <c r="E171" s="304"/>
      <c r="F171" s="305"/>
      <c r="G171" s="305"/>
      <c r="H171" s="305"/>
      <c r="I171" s="305"/>
      <c r="J171" s="112" t="str">
        <f>IF(AND('Mapa final'!$AB$49="Baja",'Mapa final'!$AD$49="Leve"),CONCATENATE("R16C",'Mapa final'!$R$49),"")</f>
        <v/>
      </c>
      <c r="K171" s="53" t="str">
        <f>IF(AND('Mapa final'!$AB$50="Baja",'Mapa final'!$AD$50="Leve"),CONCATENATE("R16C",'Mapa final'!$R$50),"")</f>
        <v/>
      </c>
      <c r="L171" s="113" t="str">
        <f>IF(AND('Mapa final'!$AB$51="Baja",'Mapa final'!$AD$51="Leve"),CONCATENATE("R16C",'Mapa final'!$R$51),"")</f>
        <v/>
      </c>
      <c r="M171" s="48" t="str">
        <f>IF(AND('Mapa final'!$AB$49="Baja",'Mapa final'!$AD$49="Menor"),CONCATENATE("R16C",'Mapa final'!$R$49),"")</f>
        <v/>
      </c>
      <c r="N171" s="49" t="str">
        <f>IF(AND('Mapa final'!$AB$50="Baja",'Mapa final'!$AD$50="Menor"),CONCATENATE("R16C",'Mapa final'!$R$50),"")</f>
        <v/>
      </c>
      <c r="O171" s="108" t="str">
        <f>IF(AND('Mapa final'!$AB$51="Baja",'Mapa final'!$AD$51="Menor"),CONCATENATE("R16C",'Mapa final'!$R$51),"")</f>
        <v/>
      </c>
      <c r="P171" s="48" t="str">
        <f>IF(AND('Mapa final'!$AB$49="Baja",'Mapa final'!$AD$49="Moderado"),CONCATENATE("R16C",'Mapa final'!$R$49),"")</f>
        <v>R16C1</v>
      </c>
      <c r="Q171" s="49" t="str">
        <f>IF(AND('Mapa final'!$AB$50="Baja",'Mapa final'!$AD$50="Moderado"),CONCATENATE("R16C",'Mapa final'!$R$50),"")</f>
        <v/>
      </c>
      <c r="R171" s="108" t="str">
        <f>IF(AND('Mapa final'!$AB$51="Baja",'Mapa final'!$AD$51="Moderado"),CONCATENATE("R16C",'Mapa final'!$R$51),"")</f>
        <v/>
      </c>
      <c r="S171" s="102" t="str">
        <f>IF(AND('Mapa final'!$AB$49="Baja",'Mapa final'!$AD$49="Mayor"),CONCATENATE("R16C",'Mapa final'!$R$49),"")</f>
        <v/>
      </c>
      <c r="T171" s="41" t="str">
        <f>IF(AND('Mapa final'!$AB$50="Baja",'Mapa final'!$AD$50="Mayor"),CONCATENATE("R16C",'Mapa final'!$R$50),"")</f>
        <v/>
      </c>
      <c r="U171" s="103" t="str">
        <f>IF(AND('Mapa final'!$AB$51="Baja",'Mapa final'!$AD$51="Mayor"),CONCATENATE("R16C",'Mapa final'!$R$51),"")</f>
        <v/>
      </c>
      <c r="V171" s="42" t="str">
        <f>IF(AND('Mapa final'!$AB$49="Baja",'Mapa final'!$AD$49="Catastrófico"),CONCATENATE("R16C",'Mapa final'!$R$49),"")</f>
        <v/>
      </c>
      <c r="W171" s="43" t="str">
        <f>IF(AND('Mapa final'!$AB$50="Baja",'Mapa final'!$AD$50="Catastrófico"),CONCATENATE("R16C",'Mapa final'!$R$50),"")</f>
        <v/>
      </c>
      <c r="X171" s="97" t="str">
        <f>IF(AND('Mapa final'!$AB$51="Baja",'Mapa final'!$AD$51="Catastrófico"),CONCATENATE("R16C",'Mapa final'!$R$51),"")</f>
        <v/>
      </c>
      <c r="Y171" s="55"/>
      <c r="Z171" s="321"/>
      <c r="AA171" s="322"/>
      <c r="AB171" s="322"/>
      <c r="AC171" s="322"/>
      <c r="AD171" s="322"/>
      <c r="AE171" s="323"/>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row>
    <row r="172" spans="1:61" ht="15" customHeight="1" x14ac:dyDescent="0.25">
      <c r="A172" s="55"/>
      <c r="B172" s="316"/>
      <c r="C172" s="316"/>
      <c r="D172" s="317"/>
      <c r="E172" s="304"/>
      <c r="F172" s="305"/>
      <c r="G172" s="305"/>
      <c r="H172" s="305"/>
      <c r="I172" s="305"/>
      <c r="J172" s="112" t="str">
        <f>IF(AND('Mapa final'!$AB$52="Baja",'Mapa final'!$AD$52="Leve"),CONCATENATE("R17C",'Mapa final'!$R$52),"")</f>
        <v/>
      </c>
      <c r="K172" s="53" t="str">
        <f>IF(AND('Mapa final'!$AB$53="Baja",'Mapa final'!$AD$53="Leve"),CONCATENATE("R17C",'Mapa final'!$R$53),"")</f>
        <v/>
      </c>
      <c r="L172" s="113" t="str">
        <f>IF(AND('Mapa final'!$AB$54="Baja",'Mapa final'!$AD$54="Leve"),CONCATENATE("R17C",'Mapa final'!$R$54),"")</f>
        <v/>
      </c>
      <c r="M172" s="48" t="str">
        <f>IF(AND('Mapa final'!$AB$52="Baja",'Mapa final'!$AD$52="Menor"),CONCATENATE("R17C",'Mapa final'!$R$52),"")</f>
        <v/>
      </c>
      <c r="N172" s="49" t="str">
        <f>IF(AND('Mapa final'!$AB$53="Baja",'Mapa final'!$AD$53="Menor"),CONCATENATE("R17C",'Mapa final'!$R$53),"")</f>
        <v/>
      </c>
      <c r="O172" s="108" t="str">
        <f>IF(AND('Mapa final'!$AB$54="Baja",'Mapa final'!$AD$54="Menor"),CONCATENATE("R17C",'Mapa final'!$R$54),"")</f>
        <v/>
      </c>
      <c r="P172" s="48" t="str">
        <f>IF(AND('Mapa final'!$AB$52="Baja",'Mapa final'!$AD$52="Moderado"),CONCATENATE("R17C",'Mapa final'!$R$52),"")</f>
        <v/>
      </c>
      <c r="Q172" s="49" t="str">
        <f>IF(AND('Mapa final'!$AB$53="Baja",'Mapa final'!$AD$53="Moderado"),CONCATENATE("R17C",'Mapa final'!$R$53),"")</f>
        <v/>
      </c>
      <c r="R172" s="108" t="str">
        <f>IF(AND('Mapa final'!$AB$54="Baja",'Mapa final'!$AD$54="Moderado"),CONCATENATE("R17C",'Mapa final'!$R$54),"")</f>
        <v/>
      </c>
      <c r="S172" s="102" t="str">
        <f>IF(AND('Mapa final'!$AB$52="Baja",'Mapa final'!$AD$52="Mayor"),CONCATENATE("R17C",'Mapa final'!$R$52),"")</f>
        <v/>
      </c>
      <c r="T172" s="41" t="str">
        <f>IF(AND('Mapa final'!$AB$53="Baja",'Mapa final'!$AD$53="Mayor"),CONCATENATE("R17C",'Mapa final'!$R$53),"")</f>
        <v/>
      </c>
      <c r="U172" s="103" t="str">
        <f>IF(AND('Mapa final'!$AB$54="Baja",'Mapa final'!$AD$54="Mayor"),CONCATENATE("R17C",'Mapa final'!$R$54),"")</f>
        <v/>
      </c>
      <c r="V172" s="42" t="str">
        <f>IF(AND('Mapa final'!$AB$52="Baja",'Mapa final'!$AD$52="Catastrófico"),CONCATENATE("R17C",'Mapa final'!$R$52),"")</f>
        <v/>
      </c>
      <c r="W172" s="43" t="str">
        <f>IF(AND('Mapa final'!$AB$53="Baja",'Mapa final'!$AD$53="Catastrófico"),CONCATENATE("R17C",'Mapa final'!$R$53),"")</f>
        <v/>
      </c>
      <c r="X172" s="97" t="str">
        <f>IF(AND('Mapa final'!$AB$54="Baja",'Mapa final'!$AD$54="Catastrófico"),CONCATENATE("R17C",'Mapa final'!$R$54),"")</f>
        <v/>
      </c>
      <c r="Y172" s="55"/>
      <c r="Z172" s="321"/>
      <c r="AA172" s="322"/>
      <c r="AB172" s="322"/>
      <c r="AC172" s="322"/>
      <c r="AD172" s="322"/>
      <c r="AE172" s="323"/>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row>
    <row r="173" spans="1:61" ht="15" customHeight="1" x14ac:dyDescent="0.25">
      <c r="A173" s="55"/>
      <c r="B173" s="316"/>
      <c r="C173" s="316"/>
      <c r="D173" s="317"/>
      <c r="E173" s="304"/>
      <c r="F173" s="305"/>
      <c r="G173" s="305"/>
      <c r="H173" s="305"/>
      <c r="I173" s="305"/>
      <c r="J173" s="112" t="str">
        <f>IF(AND('Mapa final'!$AB$55="Baja",'Mapa final'!$AD$55="Leve"),CONCATENATE("R18C",'Mapa final'!$R$55),"")</f>
        <v/>
      </c>
      <c r="K173" s="53" t="str">
        <f>IF(AND('Mapa final'!$AB$56="Baja",'Mapa final'!$AD$56="Leve"),CONCATENATE("R18C",'Mapa final'!$R$56),"")</f>
        <v/>
      </c>
      <c r="L173" s="113" t="str">
        <f>IF(AND('Mapa final'!$AB$57="Baja",'Mapa final'!$AD$57="Leve"),CONCATENATE("R18C",'Mapa final'!$R$57),"")</f>
        <v/>
      </c>
      <c r="M173" s="48" t="str">
        <f>IF(AND('Mapa final'!$AB$55="Baja",'Mapa final'!$AD$55="Menor"),CONCATENATE("R18C",'Mapa final'!$R$55),"")</f>
        <v/>
      </c>
      <c r="N173" s="49" t="str">
        <f>IF(AND('Mapa final'!$AB$56="Baja",'Mapa final'!$AD$56="Menor"),CONCATENATE("R18C",'Mapa final'!$R$56),"")</f>
        <v/>
      </c>
      <c r="O173" s="108" t="str">
        <f>IF(AND('Mapa final'!$AB$57="Baja",'Mapa final'!$AD$57="Menor"),CONCATENATE("R18C",'Mapa final'!$R$57),"")</f>
        <v/>
      </c>
      <c r="P173" s="48" t="str">
        <f>IF(AND('Mapa final'!$AB$55="Baja",'Mapa final'!$AD$55="Moderado"),CONCATENATE("R18C",'Mapa final'!$R$55),"")</f>
        <v/>
      </c>
      <c r="Q173" s="49" t="str">
        <f>IF(AND('Mapa final'!$AB$56="Baja",'Mapa final'!$AD$56="Moderado"),CONCATENATE("R18C",'Mapa final'!$R$56),"")</f>
        <v>R18C2</v>
      </c>
      <c r="R173" s="108" t="str">
        <f>IF(AND('Mapa final'!$AB$57="Baja",'Mapa final'!$AD$57="Moderado"),CONCATENATE("R18C",'Mapa final'!$R$57),"")</f>
        <v/>
      </c>
      <c r="S173" s="102" t="str">
        <f>IF(AND('Mapa final'!$AB$55="Baja",'Mapa final'!$AD$55="Mayor"),CONCATENATE("R18C",'Mapa final'!$R$55),"")</f>
        <v/>
      </c>
      <c r="T173" s="41" t="str">
        <f>IF(AND('Mapa final'!$AB$56="Baja",'Mapa final'!$AD$56="Mayor"),CONCATENATE("R18C",'Mapa final'!$R$56),"")</f>
        <v/>
      </c>
      <c r="U173" s="103" t="str">
        <f>IF(AND('Mapa final'!$AB$57="Baja",'Mapa final'!$AD$57="Mayor"),CONCATENATE("R18C",'Mapa final'!$R$57),"")</f>
        <v/>
      </c>
      <c r="V173" s="42" t="str">
        <f>IF(AND('Mapa final'!$AB$55="Baja",'Mapa final'!$AD$55="Catastrófico"),CONCATENATE("R18C",'Mapa final'!$R$55),"")</f>
        <v/>
      </c>
      <c r="W173" s="43" t="str">
        <f>IF(AND('Mapa final'!$AB$56="Baja",'Mapa final'!$AD$56="Catastrófico"),CONCATENATE("R18C",'Mapa final'!$R$56),"")</f>
        <v/>
      </c>
      <c r="X173" s="97" t="str">
        <f>IF(AND('Mapa final'!$AB$57="Baja",'Mapa final'!$AD$57="Catastrófico"),CONCATENATE("R18C",'Mapa final'!$R$57),"")</f>
        <v/>
      </c>
      <c r="Y173" s="55"/>
      <c r="Z173" s="321"/>
      <c r="AA173" s="322"/>
      <c r="AB173" s="322"/>
      <c r="AC173" s="322"/>
      <c r="AD173" s="322"/>
      <c r="AE173" s="323"/>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row>
    <row r="174" spans="1:61" ht="15" customHeight="1" x14ac:dyDescent="0.25">
      <c r="A174" s="55"/>
      <c r="B174" s="316"/>
      <c r="C174" s="316"/>
      <c r="D174" s="317"/>
      <c r="E174" s="304"/>
      <c r="F174" s="305"/>
      <c r="G174" s="305"/>
      <c r="H174" s="305"/>
      <c r="I174" s="305"/>
      <c r="J174" s="112" t="str">
        <f>IF(AND('Mapa final'!$AB$58="Baja",'Mapa final'!$AD$58="Leve"),CONCATENATE("R19C",'Mapa final'!$R$58),"")</f>
        <v/>
      </c>
      <c r="K174" s="53" t="str">
        <f>IF(AND('Mapa final'!$AB$59="Baja",'Mapa final'!$AD$59="Leve"),CONCATENATE("R19C",'Mapa final'!$R$59),"")</f>
        <v/>
      </c>
      <c r="L174" s="113" t="str">
        <f>IF(AND('Mapa final'!$AB$60="Baja",'Mapa final'!$AD$60="Leve"),CONCATENATE("R19C",'Mapa final'!$R$60),"")</f>
        <v/>
      </c>
      <c r="M174" s="48" t="str">
        <f>IF(AND('Mapa final'!$AB$58="Baja",'Mapa final'!$AD$58="Menor"),CONCATENATE("R19C",'Mapa final'!$R$58),"")</f>
        <v/>
      </c>
      <c r="N174" s="49" t="str">
        <f>IF(AND('Mapa final'!$AB$59="Baja",'Mapa final'!$AD$59="Menor"),CONCATENATE("R19C",'Mapa final'!$R$59),"")</f>
        <v/>
      </c>
      <c r="O174" s="108" t="str">
        <f>IF(AND('Mapa final'!$AB$60="Baja",'Mapa final'!$AD$60="Menor"),CONCATENATE("R19C",'Mapa final'!$R$60),"")</f>
        <v/>
      </c>
      <c r="P174" s="48" t="str">
        <f>IF(AND('Mapa final'!$AB$58="Baja",'Mapa final'!$AD$58="Moderado"),CONCATENATE("R19C",'Mapa final'!$R$58),"")</f>
        <v/>
      </c>
      <c r="Q174" s="49" t="str">
        <f>IF(AND('Mapa final'!$AB$59="Baja",'Mapa final'!$AD$59="Moderado"),CONCATENATE("R19C",'Mapa final'!$R$59),"")</f>
        <v/>
      </c>
      <c r="R174" s="108" t="str">
        <f>IF(AND('Mapa final'!$AB$60="Baja",'Mapa final'!$AD$60="Moderado"),CONCATENATE("R19C",'Mapa final'!$R$60),"")</f>
        <v/>
      </c>
      <c r="S174" s="102" t="str">
        <f>IF(AND('Mapa final'!$AB$58="Baja",'Mapa final'!$AD$58="Mayor"),CONCATENATE("R19C",'Mapa final'!$R$58),"")</f>
        <v/>
      </c>
      <c r="T174" s="41" t="str">
        <f>IF(AND('Mapa final'!$AB$59="Baja",'Mapa final'!$AD$59="Mayor"),CONCATENATE("R19C",'Mapa final'!$R$59),"")</f>
        <v/>
      </c>
      <c r="U174" s="103" t="str">
        <f>IF(AND('Mapa final'!$AB$60="Baja",'Mapa final'!$AD$60="Mayor"),CONCATENATE("R19C",'Mapa final'!$R$60),"")</f>
        <v/>
      </c>
      <c r="V174" s="42" t="str">
        <f>IF(AND('Mapa final'!$AB$58="Baja",'Mapa final'!$AD$58="Catastrófico"),CONCATENATE("R19C",'Mapa final'!$R$58),"")</f>
        <v/>
      </c>
      <c r="W174" s="43" t="str">
        <f>IF(AND('Mapa final'!$AB$59="Baja",'Mapa final'!$AD$59="Catastrófico"),CONCATENATE("R19C",'Mapa final'!$R$59),"")</f>
        <v/>
      </c>
      <c r="X174" s="97" t="str">
        <f>IF(AND('Mapa final'!$AB$60="Baja",'Mapa final'!$AD$60="Catastrófico"),CONCATENATE("R19C",'Mapa final'!$R$60),"")</f>
        <v/>
      </c>
      <c r="Y174" s="55"/>
      <c r="Z174" s="321"/>
      <c r="AA174" s="322"/>
      <c r="AB174" s="322"/>
      <c r="AC174" s="322"/>
      <c r="AD174" s="322"/>
      <c r="AE174" s="323"/>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row>
    <row r="175" spans="1:61" ht="15" customHeight="1" x14ac:dyDescent="0.25">
      <c r="A175" s="55"/>
      <c r="B175" s="316"/>
      <c r="C175" s="316"/>
      <c r="D175" s="317"/>
      <c r="E175" s="304"/>
      <c r="F175" s="305"/>
      <c r="G175" s="305"/>
      <c r="H175" s="305"/>
      <c r="I175" s="305"/>
      <c r="J175" s="112" t="str">
        <f>IF(AND('Mapa final'!$AB$61="Baja",'Mapa final'!$AD$61="Leve"),CONCATENATE("R20C",'Mapa final'!$R$61),"")</f>
        <v/>
      </c>
      <c r="K175" s="53" t="str">
        <f>IF(AND('Mapa final'!$AB$62="Baja",'Mapa final'!$AD$62="Leve"),CONCATENATE("R20C",'Mapa final'!$R$62),"")</f>
        <v/>
      </c>
      <c r="L175" s="113" t="str">
        <f>IF(AND('Mapa final'!$AB$63="Baja",'Mapa final'!$AD$63="Leve"),CONCATENATE("R20C",'Mapa final'!$R$63),"")</f>
        <v/>
      </c>
      <c r="M175" s="48" t="str">
        <f>IF(AND('Mapa final'!$AB$61="Baja",'Mapa final'!$AD$61="Menor"),CONCATENATE("R20C",'Mapa final'!$R$61),"")</f>
        <v/>
      </c>
      <c r="N175" s="49" t="str">
        <f>IF(AND('Mapa final'!$AB$62="Baja",'Mapa final'!$AD$62="Menor"),CONCATENATE("R20C",'Mapa final'!$R$62),"")</f>
        <v/>
      </c>
      <c r="O175" s="108" t="str">
        <f>IF(AND('Mapa final'!$AB$63="Baja",'Mapa final'!$AD$63="Menor"),CONCATENATE("R20C",'Mapa final'!$R$63),"")</f>
        <v/>
      </c>
      <c r="P175" s="48" t="str">
        <f>IF(AND('Mapa final'!$AB$61="Baja",'Mapa final'!$AD$61="Moderado"),CONCATENATE("R20C",'Mapa final'!$R$61),"")</f>
        <v/>
      </c>
      <c r="Q175" s="49" t="str">
        <f>IF(AND('Mapa final'!$AB$62="Baja",'Mapa final'!$AD$62="Moderado"),CONCATENATE("R20C",'Mapa final'!$R$62),"")</f>
        <v/>
      </c>
      <c r="R175" s="108" t="str">
        <f>IF(AND('Mapa final'!$AB$63="Baja",'Mapa final'!$AD$63="Moderado"),CONCATENATE("R20C",'Mapa final'!$R$63),"")</f>
        <v/>
      </c>
      <c r="S175" s="102" t="str">
        <f>IF(AND('Mapa final'!$AB$61="Baja",'Mapa final'!$AD$61="Mayor"),CONCATENATE("R20C",'Mapa final'!$R$61),"")</f>
        <v>R20C1</v>
      </c>
      <c r="T175" s="41" t="str">
        <f>IF(AND('Mapa final'!$AB$62="Baja",'Mapa final'!$AD$62="Mayor"),CONCATENATE("R20C",'Mapa final'!$R$62),"")</f>
        <v/>
      </c>
      <c r="U175" s="103" t="str">
        <f>IF(AND('Mapa final'!$AB$63="Baja",'Mapa final'!$AD$63="Mayor"),CONCATENATE("R20C",'Mapa final'!$R$63),"")</f>
        <v/>
      </c>
      <c r="V175" s="42" t="str">
        <f>IF(AND('Mapa final'!$AB$61="Baja",'Mapa final'!$AD$61="Catastrófico"),CONCATENATE("R20C",'Mapa final'!$R$61),"")</f>
        <v/>
      </c>
      <c r="W175" s="43" t="str">
        <f>IF(AND('Mapa final'!$AB$62="Baja",'Mapa final'!$AD$62="Catastrófico"),CONCATENATE("R20C",'Mapa final'!$R$62),"")</f>
        <v/>
      </c>
      <c r="X175" s="97" t="str">
        <f>IF(AND('Mapa final'!$AB$63="Baja",'Mapa final'!$AD$63="Catastrófico"),CONCATENATE("R20C",'Mapa final'!$R$63),"")</f>
        <v/>
      </c>
      <c r="Y175" s="55"/>
      <c r="Z175" s="321"/>
      <c r="AA175" s="322"/>
      <c r="AB175" s="322"/>
      <c r="AC175" s="322"/>
      <c r="AD175" s="322"/>
      <c r="AE175" s="323"/>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row>
    <row r="176" spans="1:61" ht="15" customHeight="1" x14ac:dyDescent="0.25">
      <c r="A176" s="55"/>
      <c r="B176" s="316"/>
      <c r="C176" s="316"/>
      <c r="D176" s="317"/>
      <c r="E176" s="304"/>
      <c r="F176" s="305"/>
      <c r="G176" s="305"/>
      <c r="H176" s="305"/>
      <c r="I176" s="305"/>
      <c r="J176" s="112" t="str">
        <f>IF(AND('Mapa final'!$AB$64="Baja",'Mapa final'!$AD$64="Leve"),CONCATENATE("R21C",'Mapa final'!$R$64),"")</f>
        <v>R21C1</v>
      </c>
      <c r="K176" s="53" t="str">
        <f>IF(AND('Mapa final'!$AB$65="Baja",'Mapa final'!$AD$65="Leve"),CONCATENATE("R21C",'Mapa final'!$R$65),"")</f>
        <v/>
      </c>
      <c r="L176" s="113" t="str">
        <f>IF(AND('Mapa final'!$AB$66="Baja",'Mapa final'!$AD$66="Leve"),CONCATENATE("R21C",'Mapa final'!$R$66),"")</f>
        <v/>
      </c>
      <c r="M176" s="48" t="str">
        <f>IF(AND('Mapa final'!$AB$64="Baja",'Mapa final'!$AD$64="Menor"),CONCATENATE("R21C",'Mapa final'!$R$64),"")</f>
        <v/>
      </c>
      <c r="N176" s="49" t="str">
        <f>IF(AND('Mapa final'!$AB$65="Baja",'Mapa final'!$AD$65="Menor"),CONCATENATE("R21C",'Mapa final'!$R$65),"")</f>
        <v/>
      </c>
      <c r="O176" s="108" t="str">
        <f>IF(AND('Mapa final'!$AB$66="Baja",'Mapa final'!$AD$66="Menor"),CONCATENATE("R21C",'Mapa final'!$R$66),"")</f>
        <v/>
      </c>
      <c r="P176" s="48" t="str">
        <f>IF(AND('Mapa final'!$AB$64="Baja",'Mapa final'!$AD$64="Moderado"),CONCATENATE("R21C",'Mapa final'!$R$64),"")</f>
        <v/>
      </c>
      <c r="Q176" s="49" t="str">
        <f>IF(AND('Mapa final'!$AB$65="Baja",'Mapa final'!$AD$65="Moderado"),CONCATENATE("R21C",'Mapa final'!$R$65),"")</f>
        <v/>
      </c>
      <c r="R176" s="108" t="str">
        <f>IF(AND('Mapa final'!$AB$66="Baja",'Mapa final'!$AD$66="Moderado"),CONCATENATE("R21C",'Mapa final'!$R$66),"")</f>
        <v/>
      </c>
      <c r="S176" s="102" t="str">
        <f>IF(AND('Mapa final'!$AB$64="Baja",'Mapa final'!$AD$64="Mayor"),CONCATENATE("R21C",'Mapa final'!$R$64),"")</f>
        <v/>
      </c>
      <c r="T176" s="41" t="str">
        <f>IF(AND('Mapa final'!$AB$65="Baja",'Mapa final'!$AD$65="Mayor"),CONCATENATE("R21C",'Mapa final'!$R$65),"")</f>
        <v/>
      </c>
      <c r="U176" s="103" t="str">
        <f>IF(AND('Mapa final'!$AB$66="Baja",'Mapa final'!$AD$66="Mayor"),CONCATENATE("R21C",'Mapa final'!$R$66),"")</f>
        <v/>
      </c>
      <c r="V176" s="42" t="str">
        <f>IF(AND('Mapa final'!$AB$64="Baja",'Mapa final'!$AD$64="Catastrófico"),CONCATENATE("R21C",'Mapa final'!$R$64),"")</f>
        <v/>
      </c>
      <c r="W176" s="43" t="str">
        <f>IF(AND('Mapa final'!$AB$65="Baja",'Mapa final'!$AD$65="Catastrófico"),CONCATENATE("R21C",'Mapa final'!$R$65),"")</f>
        <v/>
      </c>
      <c r="X176" s="97" t="str">
        <f>IF(AND('Mapa final'!$AB$66="Baja",'Mapa final'!$AD$66="Catastrófico"),CONCATENATE("R21C",'Mapa final'!$R$66),"")</f>
        <v/>
      </c>
      <c r="Y176" s="55"/>
      <c r="Z176" s="321"/>
      <c r="AA176" s="322"/>
      <c r="AB176" s="322"/>
      <c r="AC176" s="322"/>
      <c r="AD176" s="322"/>
      <c r="AE176" s="323"/>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row>
    <row r="177" spans="1:61" ht="15" customHeight="1" x14ac:dyDescent="0.25">
      <c r="A177" s="55"/>
      <c r="B177" s="316"/>
      <c r="C177" s="316"/>
      <c r="D177" s="317"/>
      <c r="E177" s="304"/>
      <c r="F177" s="305"/>
      <c r="G177" s="305"/>
      <c r="H177" s="305"/>
      <c r="I177" s="305"/>
      <c r="J177" s="112" t="str">
        <f>IF(AND('Mapa final'!$AB$67="Baja",'Mapa final'!$AD$67="Leve"),CONCATENATE("R22C",'Mapa final'!$R$67),"")</f>
        <v/>
      </c>
      <c r="K177" s="53" t="str">
        <f>IF(AND('Mapa final'!$AB$68="Baja",'Mapa final'!$AD$68="Leve"),CONCATENATE("R22C",'Mapa final'!$R$68),"")</f>
        <v/>
      </c>
      <c r="L177" s="113" t="str">
        <f>IF(AND('Mapa final'!$AB$69="Baja",'Mapa final'!$AD$69="Leve"),CONCATENATE("R22C",'Mapa final'!$R$69),"")</f>
        <v/>
      </c>
      <c r="M177" s="48" t="str">
        <f>IF(AND('Mapa final'!$AB$67="Baja",'Mapa final'!$AD$67="Menor"),CONCATENATE("R22C",'Mapa final'!$R$67),"")</f>
        <v>R22C1</v>
      </c>
      <c r="N177" s="49" t="str">
        <f>IF(AND('Mapa final'!$AB$68="Baja",'Mapa final'!$AD$68="Menor"),CONCATENATE("R22C",'Mapa final'!$R$68),"")</f>
        <v/>
      </c>
      <c r="O177" s="108" t="str">
        <f>IF(AND('Mapa final'!$AB$69="Baja",'Mapa final'!$AD$69="Menor"),CONCATENATE("R22C",'Mapa final'!$R$69),"")</f>
        <v/>
      </c>
      <c r="P177" s="48" t="str">
        <f>IF(AND('Mapa final'!$AB$67="Baja",'Mapa final'!$AD$67="Moderado"),CONCATENATE("R22C",'Mapa final'!$R$67),"")</f>
        <v/>
      </c>
      <c r="Q177" s="49" t="str">
        <f>IF(AND('Mapa final'!$AB$68="Baja",'Mapa final'!$AD$68="Moderado"),CONCATENATE("R22C",'Mapa final'!$R$68),"")</f>
        <v/>
      </c>
      <c r="R177" s="108" t="str">
        <f>IF(AND('Mapa final'!$AB$69="Baja",'Mapa final'!$AD$69="Moderado"),CONCATENATE("R22C",'Mapa final'!$R$69),"")</f>
        <v/>
      </c>
      <c r="S177" s="102" t="str">
        <f>IF(AND('Mapa final'!$AB$67="Baja",'Mapa final'!$AD$67="Mayor"),CONCATENATE("R22C",'Mapa final'!$R$67),"")</f>
        <v/>
      </c>
      <c r="T177" s="41" t="str">
        <f>IF(AND('Mapa final'!$AB$68="Baja",'Mapa final'!$AD$68="Mayor"),CONCATENATE("R22C",'Mapa final'!$R$68),"")</f>
        <v/>
      </c>
      <c r="U177" s="103" t="str">
        <f>IF(AND('Mapa final'!$AB$69="Baja",'Mapa final'!$AD$69="Mayor"),CONCATENATE("R22C",'Mapa final'!$R$69),"")</f>
        <v/>
      </c>
      <c r="V177" s="42" t="str">
        <f>IF(AND('Mapa final'!$AB$67="Baja",'Mapa final'!$AD$67="Catastrófico"),CONCATENATE("R22C",'Mapa final'!$R$67),"")</f>
        <v/>
      </c>
      <c r="W177" s="43" t="str">
        <f>IF(AND('Mapa final'!$AB$68="Baja",'Mapa final'!$AD$68="Catastrófico"),CONCATENATE("R22C",'Mapa final'!$R$68),"")</f>
        <v/>
      </c>
      <c r="X177" s="97" t="str">
        <f>IF(AND('Mapa final'!$AB$69="Baja",'Mapa final'!$AD$69="Catastrófico"),CONCATENATE("R22C",'Mapa final'!$R$69),"")</f>
        <v/>
      </c>
      <c r="Y177" s="55"/>
      <c r="Z177" s="321"/>
      <c r="AA177" s="322"/>
      <c r="AB177" s="322"/>
      <c r="AC177" s="322"/>
      <c r="AD177" s="322"/>
      <c r="AE177" s="323"/>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row>
    <row r="178" spans="1:61" ht="15" customHeight="1" x14ac:dyDescent="0.25">
      <c r="A178" s="55"/>
      <c r="B178" s="316"/>
      <c r="C178" s="316"/>
      <c r="D178" s="317"/>
      <c r="E178" s="304"/>
      <c r="F178" s="305"/>
      <c r="G178" s="305"/>
      <c r="H178" s="305"/>
      <c r="I178" s="305"/>
      <c r="J178" s="112" t="str">
        <f>IF(AND('Mapa final'!$AB$73="Baja",'Mapa final'!$AD$73="Leve"),CONCATENATE("R23C",'Mapa final'!$R$73),"")</f>
        <v/>
      </c>
      <c r="K178" s="53" t="str">
        <f>IF(AND('Mapa final'!$AB$74="Baja",'Mapa final'!$AD$74="Leve"),CONCATENATE("R23C",'Mapa final'!$R$74),"")</f>
        <v/>
      </c>
      <c r="L178" s="113" t="str">
        <f>IF(AND('Mapa final'!$AB$75="Baja",'Mapa final'!$AD$75="Leve"),CONCATENATE("R23C",'Mapa final'!$R$75),"")</f>
        <v/>
      </c>
      <c r="M178" s="48" t="str">
        <f>IF(AND('Mapa final'!$AB$73="Baja",'Mapa final'!$AD$73="Menor"),CONCATENATE("R23C",'Mapa final'!$R$73),"")</f>
        <v/>
      </c>
      <c r="N178" s="49" t="str">
        <f>IF(AND('Mapa final'!$AB$74="Baja",'Mapa final'!$AD$74="Menor"),CONCATENATE("R23C",'Mapa final'!$R$74),"")</f>
        <v/>
      </c>
      <c r="O178" s="108" t="str">
        <f>IF(AND('Mapa final'!$AB$75="Baja",'Mapa final'!$AD$75="Menor"),CONCATENATE("R23C",'Mapa final'!$R$75),"")</f>
        <v/>
      </c>
      <c r="P178" s="48" t="str">
        <f>IF(AND('Mapa final'!$AB$73="Baja",'Mapa final'!$AD$73="Moderado"),CONCATENATE("R23C",'Mapa final'!$R$73),"")</f>
        <v/>
      </c>
      <c r="Q178" s="49" t="str">
        <f>IF(AND('Mapa final'!$AB$74="Baja",'Mapa final'!$AD$74="Moderado"),CONCATENATE("R23C",'Mapa final'!$R$74),"")</f>
        <v/>
      </c>
      <c r="R178" s="108" t="str">
        <f>IF(AND('Mapa final'!$AB$75="Baja",'Mapa final'!$AD$75="Moderado"),CONCATENATE("R23C",'Mapa final'!$R$75),"")</f>
        <v/>
      </c>
      <c r="S178" s="102" t="str">
        <f>IF(AND('Mapa final'!$AB$73="Baja",'Mapa final'!$AD$73="Mayor"),CONCATENATE("R23C",'Mapa final'!$R$73),"")</f>
        <v>R23C1</v>
      </c>
      <c r="T178" s="41" t="str">
        <f>IF(AND('Mapa final'!$AB$74="Baja",'Mapa final'!$AD$74="Mayor"),CONCATENATE("R23C",'Mapa final'!$R$74),"")</f>
        <v/>
      </c>
      <c r="U178" s="103" t="str">
        <f>IF(AND('Mapa final'!$AB$75="Baja",'Mapa final'!$AD$75="Mayor"),CONCATENATE("R23C",'Mapa final'!$R$75),"")</f>
        <v/>
      </c>
      <c r="V178" s="42" t="str">
        <f>IF(AND('Mapa final'!$AB$73="Baja",'Mapa final'!$AD$73="Catastrófico"),CONCATENATE("R23C",'Mapa final'!$R$73),"")</f>
        <v/>
      </c>
      <c r="W178" s="43" t="str">
        <f>IF(AND('Mapa final'!$AB$74="Baja",'Mapa final'!$AD$74="Catastrófico"),CONCATENATE("R23C",'Mapa final'!$R$74),"")</f>
        <v/>
      </c>
      <c r="X178" s="97" t="str">
        <f>IF(AND('Mapa final'!$AB$75="Baja",'Mapa final'!$AD$75="Catastrófico"),CONCATENATE("R23C",'Mapa final'!$R$75),"")</f>
        <v/>
      </c>
      <c r="Y178" s="55"/>
      <c r="Z178" s="321"/>
      <c r="AA178" s="322"/>
      <c r="AB178" s="322"/>
      <c r="AC178" s="322"/>
      <c r="AD178" s="322"/>
      <c r="AE178" s="323"/>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row>
    <row r="179" spans="1:61" ht="15" customHeight="1" x14ac:dyDescent="0.25">
      <c r="A179" s="55"/>
      <c r="B179" s="316"/>
      <c r="C179" s="316"/>
      <c r="D179" s="317"/>
      <c r="E179" s="304"/>
      <c r="F179" s="305"/>
      <c r="G179" s="305"/>
      <c r="H179" s="305"/>
      <c r="I179" s="305"/>
      <c r="J179" s="112" t="str">
        <f>IF(AND('Mapa final'!$AB$76="Baja",'Mapa final'!$AD$76="Leve"),CONCATENATE("R24C",'Mapa final'!$R$76),"")</f>
        <v/>
      </c>
      <c r="K179" s="53" t="str">
        <f>IF(AND('Mapa final'!$AB$77="Baja",'Mapa final'!$AD$77="Leve"),CONCATENATE("R24C",'Mapa final'!$R$77),"")</f>
        <v/>
      </c>
      <c r="L179" s="113" t="str">
        <f>IF(AND('Mapa final'!$AB$78="Baja",'Mapa final'!$AD$78="Leve"),CONCATENATE("R24C",'Mapa final'!$R$78),"")</f>
        <v/>
      </c>
      <c r="M179" s="48" t="str">
        <f>IF(AND('Mapa final'!$AB$76="Baja",'Mapa final'!$AD$76="Menor"),CONCATENATE("R24C",'Mapa final'!$R$76),"")</f>
        <v/>
      </c>
      <c r="N179" s="49" t="str">
        <f>IF(AND('Mapa final'!$AB$77="Baja",'Mapa final'!$AD$77="Menor"),CONCATENATE("R24C",'Mapa final'!$R$77),"")</f>
        <v/>
      </c>
      <c r="O179" s="108" t="str">
        <f>IF(AND('Mapa final'!$AB$78="Baja",'Mapa final'!$AD$78="Menor"),CONCATENATE("R24C",'Mapa final'!$R$78),"")</f>
        <v/>
      </c>
      <c r="P179" s="48" t="str">
        <f>IF(AND('Mapa final'!$AB$76="Baja",'Mapa final'!$AD$76="Moderado"),CONCATENATE("R24C",'Mapa final'!$R$76),"")</f>
        <v>R24C1</v>
      </c>
      <c r="Q179" s="49" t="str">
        <f>IF(AND('Mapa final'!$AB$77="Baja",'Mapa final'!$AD$77="Moderado"),CONCATENATE("R24C",'Mapa final'!$R$77),"")</f>
        <v/>
      </c>
      <c r="R179" s="108" t="str">
        <f>IF(AND('Mapa final'!$AB$78="Baja",'Mapa final'!$AD$78="Moderado"),CONCATENATE("R24C",'Mapa final'!$R$78),"")</f>
        <v/>
      </c>
      <c r="S179" s="102" t="str">
        <f>IF(AND('Mapa final'!$AB$76="Baja",'Mapa final'!$AD$76="Mayor"),CONCATENATE("R24C",'Mapa final'!$R$76),"")</f>
        <v/>
      </c>
      <c r="T179" s="41" t="str">
        <f>IF(AND('Mapa final'!$AB$77="Baja",'Mapa final'!$AD$77="Mayor"),CONCATENATE("R24C",'Mapa final'!$R$77),"")</f>
        <v/>
      </c>
      <c r="U179" s="103" t="str">
        <f>IF(AND('Mapa final'!$AB$78="Baja",'Mapa final'!$AD$78="Mayor"),CONCATENATE("R24C",'Mapa final'!$R$78),"")</f>
        <v/>
      </c>
      <c r="V179" s="42" t="str">
        <f>IF(AND('Mapa final'!$AB$76="Baja",'Mapa final'!$AD$76="Catastrófico"),CONCATENATE("R24C",'Mapa final'!$R$76),"")</f>
        <v/>
      </c>
      <c r="W179" s="43" t="str">
        <f>IF(AND('Mapa final'!$AB$77="Baja",'Mapa final'!$AD$77="Catastrófico"),CONCATENATE("R24C",'Mapa final'!$R$77),"")</f>
        <v/>
      </c>
      <c r="X179" s="97" t="str">
        <f>IF(AND('Mapa final'!$AB$78="Baja",'Mapa final'!$AD$78="Catastrófico"),CONCATENATE("R24C",'Mapa final'!$R$78),"")</f>
        <v/>
      </c>
      <c r="Y179" s="55"/>
      <c r="Z179" s="321"/>
      <c r="AA179" s="322"/>
      <c r="AB179" s="322"/>
      <c r="AC179" s="322"/>
      <c r="AD179" s="322"/>
      <c r="AE179" s="323"/>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row>
    <row r="180" spans="1:61" ht="15" customHeight="1" x14ac:dyDescent="0.25">
      <c r="A180" s="55"/>
      <c r="B180" s="316"/>
      <c r="C180" s="316"/>
      <c r="D180" s="317"/>
      <c r="E180" s="304"/>
      <c r="F180" s="305"/>
      <c r="G180" s="305"/>
      <c r="H180" s="305"/>
      <c r="I180" s="305"/>
      <c r="J180" s="112" t="str">
        <f>IF(AND('Mapa final'!$AB$79="Baja",'Mapa final'!$AD$79="Leve"),CONCATENATE("R25C",'Mapa final'!$R$79),"")</f>
        <v/>
      </c>
      <c r="K180" s="53" t="str">
        <f>IF(AND('Mapa final'!$AB$80="Baja",'Mapa final'!$AD$80="Leve"),CONCATENATE("R25C",'Mapa final'!$R$80),"")</f>
        <v/>
      </c>
      <c r="L180" s="113" t="str">
        <f>IF(AND('Mapa final'!$AB$81="Baja",'Mapa final'!$AD$81="Leve"),CONCATENATE("R25C",'Mapa final'!$R$81),"")</f>
        <v/>
      </c>
      <c r="M180" s="48" t="str">
        <f>IF(AND('Mapa final'!$AB$79="Baja",'Mapa final'!$AD$79="Menor"),CONCATENATE("R25C",'Mapa final'!$R$79),"")</f>
        <v/>
      </c>
      <c r="N180" s="49" t="str">
        <f>IF(AND('Mapa final'!$AB$80="Baja",'Mapa final'!$AD$80="Menor"),CONCATENATE("R25C",'Mapa final'!$R$80),"")</f>
        <v/>
      </c>
      <c r="O180" s="108" t="str">
        <f>IF(AND('Mapa final'!$AB$81="Baja",'Mapa final'!$AD$81="Menor"),CONCATENATE("R25C",'Mapa final'!$R$81),"")</f>
        <v/>
      </c>
      <c r="P180" s="48" t="str">
        <f>IF(AND('Mapa final'!$AB$79="Baja",'Mapa final'!$AD$79="Moderado"),CONCATENATE("R25C",'Mapa final'!$R$79),"")</f>
        <v>R25C1</v>
      </c>
      <c r="Q180" s="49" t="str">
        <f>IF(AND('Mapa final'!$AB$80="Baja",'Mapa final'!$AD$80="Moderado"),CONCATENATE("R25C",'Mapa final'!$R$80),"")</f>
        <v/>
      </c>
      <c r="R180" s="108" t="str">
        <f>IF(AND('Mapa final'!$AB$81="Baja",'Mapa final'!$AD$81="Moderado"),CONCATENATE("R25C",'Mapa final'!$R$81),"")</f>
        <v/>
      </c>
      <c r="S180" s="102" t="str">
        <f>IF(AND('Mapa final'!$AB$79="Baja",'Mapa final'!$AD$79="Mayor"),CONCATENATE("R25C",'Mapa final'!$R$79),"")</f>
        <v/>
      </c>
      <c r="T180" s="41" t="str">
        <f>IF(AND('Mapa final'!$AB$80="Baja",'Mapa final'!$AD$80="Mayor"),CONCATENATE("R25C",'Mapa final'!$R$80),"")</f>
        <v/>
      </c>
      <c r="U180" s="103" t="str">
        <f>IF(AND('Mapa final'!$AB$81="Baja",'Mapa final'!$AD$81="Mayor"),CONCATENATE("R25C",'Mapa final'!$R$81),"")</f>
        <v/>
      </c>
      <c r="V180" s="42" t="str">
        <f>IF(AND('Mapa final'!$AB$79="Baja",'Mapa final'!$AD$79="Catastrófico"),CONCATENATE("R25C",'Mapa final'!$R$79),"")</f>
        <v/>
      </c>
      <c r="W180" s="43" t="str">
        <f>IF(AND('Mapa final'!$AB$80="Baja",'Mapa final'!$AD$80="Catastrófico"),CONCATENATE("R25C",'Mapa final'!$R$80),"")</f>
        <v/>
      </c>
      <c r="X180" s="97" t="str">
        <f>IF(AND('Mapa final'!$AB$81="Baja",'Mapa final'!$AD$81="Catastrófico"),CONCATENATE("R25C",'Mapa final'!$R$81),"")</f>
        <v/>
      </c>
      <c r="Y180" s="55"/>
      <c r="Z180" s="321"/>
      <c r="AA180" s="322"/>
      <c r="AB180" s="322"/>
      <c r="AC180" s="322"/>
      <c r="AD180" s="322"/>
      <c r="AE180" s="323"/>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row>
    <row r="181" spans="1:61" ht="15" customHeight="1" x14ac:dyDescent="0.25">
      <c r="A181" s="55"/>
      <c r="B181" s="316"/>
      <c r="C181" s="316"/>
      <c r="D181" s="317"/>
      <c r="E181" s="304"/>
      <c r="F181" s="305"/>
      <c r="G181" s="305"/>
      <c r="H181" s="305"/>
      <c r="I181" s="305"/>
      <c r="J181" s="112" t="str">
        <f>IF(AND('Mapa final'!$AB$82="Baja",'Mapa final'!$AD$82="Leve"),CONCATENATE("R26C",'Mapa final'!$R$82),"")</f>
        <v/>
      </c>
      <c r="K181" s="53" t="str">
        <f>IF(AND('Mapa final'!$AB$83="Baja",'Mapa final'!$AD$83="Leve"),CONCATENATE("R26C",'Mapa final'!$R$83),"")</f>
        <v/>
      </c>
      <c r="L181" s="113" t="str">
        <f>IF(AND('Mapa final'!$AB$84="Baja",'Mapa final'!$AD$84="Leve"),CONCATENATE("R26C",'Mapa final'!$R$84),"")</f>
        <v/>
      </c>
      <c r="M181" s="48" t="str">
        <f>IF(AND('Mapa final'!$AB$82="Baja",'Mapa final'!$AD$82="Menor"),CONCATENATE("R26C",'Mapa final'!$R$82),"")</f>
        <v/>
      </c>
      <c r="N181" s="49" t="str">
        <f>IF(AND('Mapa final'!$AB$83="Baja",'Mapa final'!$AD$83="Menor"),CONCATENATE("R26C",'Mapa final'!$R$83),"")</f>
        <v/>
      </c>
      <c r="O181" s="108" t="str">
        <f>IF(AND('Mapa final'!$AB$84="Baja",'Mapa final'!$AD$84="Menor"),CONCATENATE("R26C",'Mapa final'!$R$84),"")</f>
        <v/>
      </c>
      <c r="P181" s="48" t="str">
        <f>IF(AND('Mapa final'!$AB$82="Baja",'Mapa final'!$AD$82="Moderado"),CONCATENATE("R26C",'Mapa final'!$R$82),"")</f>
        <v/>
      </c>
      <c r="Q181" s="49" t="str">
        <f>IF(AND('Mapa final'!$AB$83="Baja",'Mapa final'!$AD$83="Moderado"),CONCATENATE("R26C",'Mapa final'!$R$83),"")</f>
        <v/>
      </c>
      <c r="R181" s="108" t="str">
        <f>IF(AND('Mapa final'!$AB$84="Baja",'Mapa final'!$AD$84="Moderado"),CONCATENATE("R26C",'Mapa final'!$R$84),"")</f>
        <v/>
      </c>
      <c r="S181" s="102" t="str">
        <f>IF(AND('Mapa final'!$AB$82="Baja",'Mapa final'!$AD$82="Mayor"),CONCATENATE("R26C",'Mapa final'!$R$82),"")</f>
        <v/>
      </c>
      <c r="T181" s="41" t="str">
        <f>IF(AND('Mapa final'!$AB$83="Baja",'Mapa final'!$AD$83="Mayor"),CONCATENATE("R26C",'Mapa final'!$R$83),"")</f>
        <v/>
      </c>
      <c r="U181" s="103" t="str">
        <f>IF(AND('Mapa final'!$AB$84="Baja",'Mapa final'!$AD$84="Mayor"),CONCATENATE("R26C",'Mapa final'!$R$84),"")</f>
        <v/>
      </c>
      <c r="V181" s="42" t="str">
        <f>IF(AND('Mapa final'!$AB$82="Baja",'Mapa final'!$AD$82="Catastrófico"),CONCATENATE("R26C",'Mapa final'!$R$82),"")</f>
        <v/>
      </c>
      <c r="W181" s="43" t="str">
        <f>IF(AND('Mapa final'!$AB$83="Baja",'Mapa final'!$AD$83="Catastrófico"),CONCATENATE("R26C",'Mapa final'!$R$83),"")</f>
        <v/>
      </c>
      <c r="X181" s="97" t="str">
        <f>IF(AND('Mapa final'!$AB$84="Baja",'Mapa final'!$AD$84="Catastrófico"),CONCATENATE("R26C",'Mapa final'!$R$84),"")</f>
        <v/>
      </c>
      <c r="Y181" s="55"/>
      <c r="Z181" s="321"/>
      <c r="AA181" s="322"/>
      <c r="AB181" s="322"/>
      <c r="AC181" s="322"/>
      <c r="AD181" s="322"/>
      <c r="AE181" s="323"/>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row>
    <row r="182" spans="1:61" ht="15" customHeight="1" x14ac:dyDescent="0.25">
      <c r="A182" s="55"/>
      <c r="B182" s="316"/>
      <c r="C182" s="316"/>
      <c r="D182" s="317"/>
      <c r="E182" s="304"/>
      <c r="F182" s="305"/>
      <c r="G182" s="305"/>
      <c r="H182" s="305"/>
      <c r="I182" s="305"/>
      <c r="J182" s="112" t="str">
        <f>IF(AND('Mapa final'!$AB$85="Baja",'Mapa final'!$AD$85="Leve"),CONCATENATE("R27C",'Mapa final'!$R$85),"")</f>
        <v/>
      </c>
      <c r="K182" s="53" t="str">
        <f>IF(AND('Mapa final'!$AB$86="Baja",'Mapa final'!$AD$86="Leve"),CONCATENATE("R27C",'Mapa final'!$R$86),"")</f>
        <v/>
      </c>
      <c r="L182" s="113" t="str">
        <f>IF(AND('Mapa final'!$AB$87="Baja",'Mapa final'!$AD$87="Leve"),CONCATENATE("R27C",'Mapa final'!$R$87),"")</f>
        <v/>
      </c>
      <c r="M182" s="48" t="str">
        <f>IF(AND('Mapa final'!$AB$85="Baja",'Mapa final'!$AD$85="Menor"),CONCATENATE("R27C",'Mapa final'!$R$85),"")</f>
        <v/>
      </c>
      <c r="N182" s="49" t="str">
        <f>IF(AND('Mapa final'!$AB$86="Baja",'Mapa final'!$AD$86="Menor"),CONCATENATE("R27C",'Mapa final'!$R$86),"")</f>
        <v/>
      </c>
      <c r="O182" s="108" t="str">
        <f>IF(AND('Mapa final'!$AB$87="Baja",'Mapa final'!$AD$87="Menor"),CONCATENATE("R27C",'Mapa final'!$R$87),"")</f>
        <v/>
      </c>
      <c r="P182" s="48" t="str">
        <f>IF(AND('Mapa final'!$AB$85="Baja",'Mapa final'!$AD$85="Moderado"),CONCATENATE("R27C",'Mapa final'!$R$85),"")</f>
        <v>R27C1</v>
      </c>
      <c r="Q182" s="49" t="str">
        <f>IF(AND('Mapa final'!$AB$86="Baja",'Mapa final'!$AD$86="Moderado"),CONCATENATE("R27C",'Mapa final'!$R$86),"")</f>
        <v/>
      </c>
      <c r="R182" s="108" t="str">
        <f>IF(AND('Mapa final'!$AB$87="Baja",'Mapa final'!$AD$87="Moderado"),CONCATENATE("R27C",'Mapa final'!$R$87),"")</f>
        <v/>
      </c>
      <c r="S182" s="102" t="str">
        <f>IF(AND('Mapa final'!$AB$85="Baja",'Mapa final'!$AD$85="Mayor"),CONCATENATE("R27C",'Mapa final'!$R$85),"")</f>
        <v/>
      </c>
      <c r="T182" s="41" t="str">
        <f>IF(AND('Mapa final'!$AB$86="Baja",'Mapa final'!$AD$86="Mayor"),CONCATENATE("R27C",'Mapa final'!$R$86),"")</f>
        <v/>
      </c>
      <c r="U182" s="103" t="str">
        <f>IF(AND('Mapa final'!$AB$87="Baja",'Mapa final'!$AD$87="Mayor"),CONCATENATE("R27C",'Mapa final'!$R$87),"")</f>
        <v/>
      </c>
      <c r="V182" s="42" t="str">
        <f>IF(AND('Mapa final'!$AB$85="Baja",'Mapa final'!$AD$85="Catastrófico"),CONCATENATE("R27C",'Mapa final'!$R$85),"")</f>
        <v/>
      </c>
      <c r="W182" s="43" t="str">
        <f>IF(AND('Mapa final'!$AB$86="Baja",'Mapa final'!$AD$86="Catastrófico"),CONCATENATE("R27C",'Mapa final'!$R$86),"")</f>
        <v/>
      </c>
      <c r="X182" s="97" t="str">
        <f>IF(AND('Mapa final'!$AB$87="Baja",'Mapa final'!$AD$87="Catastrófico"),CONCATENATE("R27C",'Mapa final'!$R$87),"")</f>
        <v/>
      </c>
      <c r="Y182" s="55"/>
      <c r="Z182" s="321"/>
      <c r="AA182" s="322"/>
      <c r="AB182" s="322"/>
      <c r="AC182" s="322"/>
      <c r="AD182" s="322"/>
      <c r="AE182" s="323"/>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row>
    <row r="183" spans="1:61" ht="15" customHeight="1" x14ac:dyDescent="0.25">
      <c r="A183" s="55"/>
      <c r="B183" s="316"/>
      <c r="C183" s="316"/>
      <c r="D183" s="317"/>
      <c r="E183" s="304"/>
      <c r="F183" s="305"/>
      <c r="G183" s="305"/>
      <c r="H183" s="305"/>
      <c r="I183" s="305"/>
      <c r="J183" s="112" t="str">
        <f>IF(AND('Mapa final'!$AB$88="Baja",'Mapa final'!$AD$88="Leve"),CONCATENATE("R28C",'Mapa final'!$R$88),"")</f>
        <v/>
      </c>
      <c r="K183" s="53" t="str">
        <f>IF(AND('Mapa final'!$AB$89="Baja",'Mapa final'!$AD$89="Leve"),CONCATENATE("R28C",'Mapa final'!$R$89),"")</f>
        <v/>
      </c>
      <c r="L183" s="113" t="str">
        <f>IF(AND('Mapa final'!$AB$90="Baja",'Mapa final'!$AD$90="Leve"),CONCATENATE("R28C",'Mapa final'!$R$90),"")</f>
        <v/>
      </c>
      <c r="M183" s="48" t="str">
        <f>IF(AND('Mapa final'!$AB$88="Baja",'Mapa final'!$AD$88="Menor"),CONCATENATE("R28C",'Mapa final'!$R$88),"")</f>
        <v/>
      </c>
      <c r="N183" s="49" t="str">
        <f>IF(AND('Mapa final'!$AB$89="Baja",'Mapa final'!$AD$89="Menor"),CONCATENATE("R28C",'Mapa final'!$R$89),"")</f>
        <v/>
      </c>
      <c r="O183" s="108" t="str">
        <f>IF(AND('Mapa final'!$AB$90="Baja",'Mapa final'!$AD$90="Menor"),CONCATENATE("R28C",'Mapa final'!$R$90),"")</f>
        <v/>
      </c>
      <c r="P183" s="48" t="str">
        <f>IF(AND('Mapa final'!$AB$88="Baja",'Mapa final'!$AD$88="Moderado"),CONCATENATE("R28C",'Mapa final'!$R$88),"")</f>
        <v/>
      </c>
      <c r="Q183" s="49" t="str">
        <f>IF(AND('Mapa final'!$AB$89="Baja",'Mapa final'!$AD$89="Moderado"),CONCATENATE("R28C",'Mapa final'!$R$89),"")</f>
        <v/>
      </c>
      <c r="R183" s="108" t="str">
        <f>IF(AND('Mapa final'!$AB$90="Baja",'Mapa final'!$AD$90="Moderado"),CONCATENATE("R28C",'Mapa final'!$R$90),"")</f>
        <v/>
      </c>
      <c r="S183" s="102" t="str">
        <f>IF(AND('Mapa final'!$AB$88="Baja",'Mapa final'!$AD$88="Mayor"),CONCATENATE("R28C",'Mapa final'!$R$88),"")</f>
        <v>R28C1</v>
      </c>
      <c r="T183" s="41" t="str">
        <f>IF(AND('Mapa final'!$AB$89="Baja",'Mapa final'!$AD$89="Mayor"),CONCATENATE("R28C",'Mapa final'!$R$89),"")</f>
        <v/>
      </c>
      <c r="U183" s="103" t="str">
        <f>IF(AND('Mapa final'!$AB$90="Baja",'Mapa final'!$AD$90="Mayor"),CONCATENATE("R28C",'Mapa final'!$R$90),"")</f>
        <v/>
      </c>
      <c r="V183" s="42" t="str">
        <f>IF(AND('Mapa final'!$AB$88="Baja",'Mapa final'!$AD$88="Catastrófico"),CONCATENATE("R28C",'Mapa final'!$R$88),"")</f>
        <v/>
      </c>
      <c r="W183" s="43" t="str">
        <f>IF(AND('Mapa final'!$AB$89="Baja",'Mapa final'!$AD$89="Catastrófico"),CONCATENATE("R28C",'Mapa final'!$R$89),"")</f>
        <v/>
      </c>
      <c r="X183" s="97" t="str">
        <f>IF(AND('Mapa final'!$AB$90="Baja",'Mapa final'!$AD$90="Catastrófico"),CONCATENATE("R28C",'Mapa final'!$R$90),"")</f>
        <v/>
      </c>
      <c r="Y183" s="55"/>
      <c r="Z183" s="321"/>
      <c r="AA183" s="322"/>
      <c r="AB183" s="322"/>
      <c r="AC183" s="322"/>
      <c r="AD183" s="322"/>
      <c r="AE183" s="323"/>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row>
    <row r="184" spans="1:61" ht="15" customHeight="1" x14ac:dyDescent="0.25">
      <c r="A184" s="55"/>
      <c r="B184" s="316"/>
      <c r="C184" s="316"/>
      <c r="D184" s="317"/>
      <c r="E184" s="306"/>
      <c r="F184" s="305"/>
      <c r="G184" s="305"/>
      <c r="H184" s="305"/>
      <c r="I184" s="305"/>
      <c r="J184" s="112" t="str">
        <f>IF(AND('Mapa final'!$AB$91="Baja",'Mapa final'!$AD$91="Leve"),CONCATENATE("R29C",'Mapa final'!$R$91),"")</f>
        <v/>
      </c>
      <c r="K184" s="53" t="str">
        <f>IF(AND('Mapa final'!$AB$92="Baja",'Mapa final'!$AD$92="Leve"),CONCATENATE("R29C",'Mapa final'!$R$92),"")</f>
        <v/>
      </c>
      <c r="L184" s="113" t="str">
        <f>IF(AND('Mapa final'!$AB$93="Baja",'Mapa final'!$AD$93="Leve"),CONCATENATE("R29C",'Mapa final'!$R$93),"")</f>
        <v/>
      </c>
      <c r="M184" s="48" t="str">
        <f>IF(AND('Mapa final'!$AB$91="Baja",'Mapa final'!$AD$91="Menor"),CONCATENATE("R29C",'Mapa final'!$R$91),"")</f>
        <v/>
      </c>
      <c r="N184" s="49" t="str">
        <f>IF(AND('Mapa final'!$AB$92="Baja",'Mapa final'!$AD$92="Menor"),CONCATENATE("R29C",'Mapa final'!$R$92),"")</f>
        <v/>
      </c>
      <c r="O184" s="108" t="str">
        <f>IF(AND('Mapa final'!$AB$93="Baja",'Mapa final'!$AD$93="Menor"),CONCATENATE("R29C",'Mapa final'!$R$93),"")</f>
        <v/>
      </c>
      <c r="P184" s="48" t="str">
        <f>IF(AND('Mapa final'!$AB$91="Baja",'Mapa final'!$AD$91="Moderado"),CONCATENATE("R29C",'Mapa final'!$R$91),"")</f>
        <v/>
      </c>
      <c r="Q184" s="49" t="str">
        <f>IF(AND('Mapa final'!$AB$92="Baja",'Mapa final'!$AD$92="Moderado"),CONCATENATE("R29C",'Mapa final'!$R$92),"")</f>
        <v/>
      </c>
      <c r="R184" s="108" t="str">
        <f>IF(AND('Mapa final'!$AB$93="Baja",'Mapa final'!$AD$93="Moderado"),CONCATENATE("R29C",'Mapa final'!$R$93),"")</f>
        <v/>
      </c>
      <c r="S184" s="102" t="str">
        <f>IF(AND('Mapa final'!$AB$91="Baja",'Mapa final'!$AD$91="Mayor"),CONCATENATE("R29C",'Mapa final'!$R$91),"")</f>
        <v>R29C1</v>
      </c>
      <c r="T184" s="41" t="str">
        <f>IF(AND('Mapa final'!$AB$92="Baja",'Mapa final'!$AD$92="Mayor"),CONCATENATE("R29C",'Mapa final'!$R$92),"")</f>
        <v/>
      </c>
      <c r="U184" s="103" t="str">
        <f>IF(AND('Mapa final'!$AB$93="Baja",'Mapa final'!$AD$93="Mayor"),CONCATENATE("R29C",'Mapa final'!$R$93),"")</f>
        <v/>
      </c>
      <c r="V184" s="42" t="str">
        <f>IF(AND('Mapa final'!$AB$91="Baja",'Mapa final'!$AD$91="Catastrófico"),CONCATENATE("R29C",'Mapa final'!$R$91),"")</f>
        <v/>
      </c>
      <c r="W184" s="43" t="str">
        <f>IF(AND('Mapa final'!$AB$92="Baja",'Mapa final'!$AD$92="Catastrófico"),CONCATENATE("R29C",'Mapa final'!$R$92),"")</f>
        <v/>
      </c>
      <c r="X184" s="97" t="str">
        <f>IF(AND('Mapa final'!$AB$93="Baja",'Mapa final'!$AD$93="Catastrófico"),CONCATENATE("R29C",'Mapa final'!$R$93),"")</f>
        <v/>
      </c>
      <c r="Y184" s="55"/>
      <c r="Z184" s="321"/>
      <c r="AA184" s="322"/>
      <c r="AB184" s="322"/>
      <c r="AC184" s="322"/>
      <c r="AD184" s="322"/>
      <c r="AE184" s="323"/>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row>
    <row r="185" spans="1:61" ht="15" customHeight="1" x14ac:dyDescent="0.25">
      <c r="A185" s="55"/>
      <c r="B185" s="316"/>
      <c r="C185" s="316"/>
      <c r="D185" s="317"/>
      <c r="E185" s="306"/>
      <c r="F185" s="305"/>
      <c r="G185" s="305"/>
      <c r="H185" s="305"/>
      <c r="I185" s="305"/>
      <c r="J185" s="112" t="str">
        <f>IF(AND('Mapa final'!$AB$94="Baja",'Mapa final'!$AD$94="Leve"),CONCATENATE("R30C",'Mapa final'!$R$94),"")</f>
        <v/>
      </c>
      <c r="K185" s="53" t="str">
        <f>IF(AND('Mapa final'!$AB$95="Baja",'Mapa final'!$AD$95="Leve"),CONCATENATE("R30C",'Mapa final'!$R$95),"")</f>
        <v/>
      </c>
      <c r="L185" s="113" t="str">
        <f>IF(AND('Mapa final'!$AB$96="Baja",'Mapa final'!$AD$96="Leve"),CONCATENATE("R30C",'Mapa final'!$R$96),"")</f>
        <v/>
      </c>
      <c r="M185" s="48" t="str">
        <f>IF(AND('Mapa final'!$AB$94="Baja",'Mapa final'!$AD$94="Menor"),CONCATENATE("R30C",'Mapa final'!$R$94),"")</f>
        <v/>
      </c>
      <c r="N185" s="49" t="str">
        <f>IF(AND('Mapa final'!$AB$95="Baja",'Mapa final'!$AD$95="Menor"),CONCATENATE("R30C",'Mapa final'!$R$95),"")</f>
        <v/>
      </c>
      <c r="O185" s="108" t="str">
        <f>IF(AND('Mapa final'!$AB$96="Baja",'Mapa final'!$AD$96="Menor"),CONCATENATE("R30C",'Mapa final'!$R$96),"")</f>
        <v/>
      </c>
      <c r="P185" s="48" t="str">
        <f>IF(AND('Mapa final'!$AB$94="Baja",'Mapa final'!$AD$94="Moderado"),CONCATENATE("R30C",'Mapa final'!$R$94),"")</f>
        <v/>
      </c>
      <c r="Q185" s="49" t="str">
        <f>IF(AND('Mapa final'!$AB$95="Baja",'Mapa final'!$AD$95="Moderado"),CONCATENATE("R30C",'Mapa final'!$R$95),"")</f>
        <v/>
      </c>
      <c r="R185" s="108" t="str">
        <f>IF(AND('Mapa final'!$AB$96="Baja",'Mapa final'!$AD$96="Moderado"),CONCATENATE("R30C",'Mapa final'!$R$96),"")</f>
        <v/>
      </c>
      <c r="S185" s="102" t="str">
        <f>IF(AND('Mapa final'!$AB$94="Baja",'Mapa final'!$AD$94="Mayor"),CONCATENATE("R30C",'Mapa final'!$R$94),"")</f>
        <v/>
      </c>
      <c r="T185" s="41" t="str">
        <f>IF(AND('Mapa final'!$AB$95="Baja",'Mapa final'!$AD$95="Mayor"),CONCATENATE("R30C",'Mapa final'!$R$95),"")</f>
        <v>R30C2</v>
      </c>
      <c r="U185" s="103" t="str">
        <f>IF(AND('Mapa final'!$AB$96="Baja",'Mapa final'!$AD$96="Mayor"),CONCATENATE("R30C",'Mapa final'!$R$96),"")</f>
        <v/>
      </c>
      <c r="V185" s="42" t="str">
        <f>IF(AND('Mapa final'!$AB$94="Baja",'Mapa final'!$AD$94="Catastrófico"),CONCATENATE("R30C",'Mapa final'!$R$94),"")</f>
        <v/>
      </c>
      <c r="W185" s="43" t="str">
        <f>IF(AND('Mapa final'!$AB$95="Baja",'Mapa final'!$AD$95="Catastrófico"),CONCATENATE("R30C",'Mapa final'!$R$95),"")</f>
        <v/>
      </c>
      <c r="X185" s="97" t="str">
        <f>IF(AND('Mapa final'!$AB$96="Baja",'Mapa final'!$AD$96="Catastrófico"),CONCATENATE("R30C",'Mapa final'!$R$96),"")</f>
        <v/>
      </c>
      <c r="Y185" s="55"/>
      <c r="Z185" s="321"/>
      <c r="AA185" s="322"/>
      <c r="AB185" s="322"/>
      <c r="AC185" s="322"/>
      <c r="AD185" s="322"/>
      <c r="AE185" s="323"/>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row>
    <row r="186" spans="1:61" ht="15" customHeight="1" x14ac:dyDescent="0.25">
      <c r="A186" s="55"/>
      <c r="B186" s="316"/>
      <c r="C186" s="316"/>
      <c r="D186" s="317"/>
      <c r="E186" s="306"/>
      <c r="F186" s="305"/>
      <c r="G186" s="305"/>
      <c r="H186" s="305"/>
      <c r="I186" s="305"/>
      <c r="J186" s="112" t="str">
        <f>IF(AND('Mapa final'!$AB$97="Baja",'Mapa final'!$AD$97="Leve"),CONCATENATE("R31C",'Mapa final'!$R$97),"")</f>
        <v/>
      </c>
      <c r="K186" s="53" t="str">
        <f>IF(AND('Mapa final'!$AB$98="Baja",'Mapa final'!$AD$98="Leve"),CONCATENATE("R31C",'Mapa final'!$R$98),"")</f>
        <v/>
      </c>
      <c r="L186" s="113" t="str">
        <f>IF(AND('Mapa final'!$AB$99="Baja",'Mapa final'!$AD$99="Leve"),CONCATENATE("R31C",'Mapa final'!$R$99),"")</f>
        <v/>
      </c>
      <c r="M186" s="48" t="str">
        <f>IF(AND('Mapa final'!$AB$97="Baja",'Mapa final'!$AD$97="Menor"),CONCATENATE("R31C",'Mapa final'!$R$97),"")</f>
        <v/>
      </c>
      <c r="N186" s="49" t="str">
        <f>IF(AND('Mapa final'!$AB$98="Baja",'Mapa final'!$AD$98="Menor"),CONCATENATE("R31C",'Mapa final'!$R$98),"")</f>
        <v/>
      </c>
      <c r="O186" s="108" t="str">
        <f>IF(AND('Mapa final'!$AB$99="Baja",'Mapa final'!$AD$99="Menor"),CONCATENATE("R31C",'Mapa final'!$R$99),"")</f>
        <v/>
      </c>
      <c r="P186" s="48" t="str">
        <f>IF(AND('Mapa final'!$AB$97="Baja",'Mapa final'!$AD$97="Moderado"),CONCATENATE("R31C",'Mapa final'!$R$97),"")</f>
        <v>R31C1</v>
      </c>
      <c r="Q186" s="49" t="str">
        <f>IF(AND('Mapa final'!$AB$98="Baja",'Mapa final'!$AD$98="Moderado"),CONCATENATE("R31C",'Mapa final'!$R$98),"")</f>
        <v/>
      </c>
      <c r="R186" s="108" t="str">
        <f>IF(AND('Mapa final'!$AB$99="Baja",'Mapa final'!$AD$99="Moderado"),CONCATENATE("R31C",'Mapa final'!$R$99),"")</f>
        <v/>
      </c>
      <c r="S186" s="102" t="str">
        <f>IF(AND('Mapa final'!$AB$97="Baja",'Mapa final'!$AD$97="Mayor"),CONCATENATE("R31C",'Mapa final'!$R$97),"")</f>
        <v/>
      </c>
      <c r="T186" s="41" t="str">
        <f>IF(AND('Mapa final'!$AB$98="Baja",'Mapa final'!$AD$98="Mayor"),CONCATENATE("R31C",'Mapa final'!$R$98),"")</f>
        <v/>
      </c>
      <c r="U186" s="103" t="str">
        <f>IF(AND('Mapa final'!$AB$99="Baja",'Mapa final'!$AD$99="Mayor"),CONCATENATE("R31C",'Mapa final'!$R$99),"")</f>
        <v/>
      </c>
      <c r="V186" s="42" t="str">
        <f>IF(AND('Mapa final'!$AB$97="Baja",'Mapa final'!$AD$97="Catastrófico"),CONCATENATE("R31C",'Mapa final'!$R$97),"")</f>
        <v/>
      </c>
      <c r="W186" s="43" t="str">
        <f>IF(AND('Mapa final'!$AB$98="Baja",'Mapa final'!$AD$98="Catastrófico"),CONCATENATE("R31C",'Mapa final'!$R$98),"")</f>
        <v/>
      </c>
      <c r="X186" s="97" t="str">
        <f>IF(AND('Mapa final'!$AB$99="Baja",'Mapa final'!$AD$99="Catastrófico"),CONCATENATE("R31C",'Mapa final'!$R$99),"")</f>
        <v/>
      </c>
      <c r="Y186" s="55"/>
      <c r="Z186" s="321"/>
      <c r="AA186" s="322"/>
      <c r="AB186" s="322"/>
      <c r="AC186" s="322"/>
      <c r="AD186" s="322"/>
      <c r="AE186" s="323"/>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row>
    <row r="187" spans="1:61" ht="15" customHeight="1" x14ac:dyDescent="0.25">
      <c r="A187" s="55"/>
      <c r="B187" s="316"/>
      <c r="C187" s="316"/>
      <c r="D187" s="317"/>
      <c r="E187" s="306"/>
      <c r="F187" s="305"/>
      <c r="G187" s="305"/>
      <c r="H187" s="305"/>
      <c r="I187" s="305"/>
      <c r="J187" s="112" t="e">
        <f>IF(AND('Mapa final'!#REF!="Baja",'Mapa final'!#REF!="Leve"),CONCATENATE("R32C",'Mapa final'!#REF!),"")</f>
        <v>#REF!</v>
      </c>
      <c r="K187" s="53" t="e">
        <f>IF(AND('Mapa final'!#REF!="Baja",'Mapa final'!#REF!="Leve"),CONCATENATE("R32C",'Mapa final'!#REF!),"")</f>
        <v>#REF!</v>
      </c>
      <c r="L187" s="113" t="e">
        <f>IF(AND('Mapa final'!#REF!="Baja",'Mapa final'!#REF!="Leve"),CONCATENATE("R32C",'Mapa final'!#REF!),"")</f>
        <v>#REF!</v>
      </c>
      <c r="M187" s="48" t="e">
        <f>IF(AND('Mapa final'!#REF!="Baja",'Mapa final'!#REF!="Menor"),CONCATENATE("R32C",'Mapa final'!#REF!),"")</f>
        <v>#REF!</v>
      </c>
      <c r="N187" s="49" t="e">
        <f>IF(AND('Mapa final'!#REF!="Baja",'Mapa final'!#REF!="Menor"),CONCATENATE("R32C",'Mapa final'!#REF!),"")</f>
        <v>#REF!</v>
      </c>
      <c r="O187" s="108" t="e">
        <f>IF(AND('Mapa final'!#REF!="Baja",'Mapa final'!#REF!="Menor"),CONCATENATE("R32C",'Mapa final'!#REF!),"")</f>
        <v>#REF!</v>
      </c>
      <c r="P187" s="48" t="e">
        <f>IF(AND('Mapa final'!#REF!="Baja",'Mapa final'!#REF!="Moderado"),CONCATENATE("R32C",'Mapa final'!#REF!),"")</f>
        <v>#REF!</v>
      </c>
      <c r="Q187" s="49" t="e">
        <f>IF(AND('Mapa final'!#REF!="Baja",'Mapa final'!#REF!="Moderado"),CONCATENATE("R32C",'Mapa final'!#REF!),"")</f>
        <v>#REF!</v>
      </c>
      <c r="R187" s="108" t="e">
        <f>IF(AND('Mapa final'!#REF!="Baja",'Mapa final'!#REF!="Moderado"),CONCATENATE("R32C",'Mapa final'!#REF!),"")</f>
        <v>#REF!</v>
      </c>
      <c r="S187" s="102" t="e">
        <f>IF(AND('Mapa final'!#REF!="Baja",'Mapa final'!#REF!="Mayor"),CONCATENATE("R32C",'Mapa final'!#REF!),"")</f>
        <v>#REF!</v>
      </c>
      <c r="T187" s="41" t="e">
        <f>IF(AND('Mapa final'!#REF!="Baja",'Mapa final'!#REF!="Mayor"),CONCATENATE("R32C",'Mapa final'!#REF!),"")</f>
        <v>#REF!</v>
      </c>
      <c r="U187" s="103" t="e">
        <f>IF(AND('Mapa final'!#REF!="Baja",'Mapa final'!#REF!="Mayor"),CONCATENATE("R32C",'Mapa final'!#REF!),"")</f>
        <v>#REF!</v>
      </c>
      <c r="V187" s="42" t="e">
        <f>IF(AND('Mapa final'!#REF!="Baja",'Mapa final'!#REF!="Catastrófico"),CONCATENATE("R32C",'Mapa final'!#REF!),"")</f>
        <v>#REF!</v>
      </c>
      <c r="W187" s="43" t="e">
        <f>IF(AND('Mapa final'!#REF!="Baja",'Mapa final'!#REF!="Catastrófico"),CONCATENATE("R32C",'Mapa final'!#REF!),"")</f>
        <v>#REF!</v>
      </c>
      <c r="X187" s="97" t="e">
        <f>IF(AND('Mapa final'!#REF!="Baja",'Mapa final'!#REF!="Catastrófico"),CONCATENATE("R32C",'Mapa final'!#REF!),"")</f>
        <v>#REF!</v>
      </c>
      <c r="Y187" s="55"/>
      <c r="Z187" s="321"/>
      <c r="AA187" s="322"/>
      <c r="AB187" s="322"/>
      <c r="AC187" s="322"/>
      <c r="AD187" s="322"/>
      <c r="AE187" s="323"/>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row>
    <row r="188" spans="1:61" ht="15" customHeight="1" x14ac:dyDescent="0.25">
      <c r="A188" s="55"/>
      <c r="B188" s="316"/>
      <c r="C188" s="316"/>
      <c r="D188" s="317"/>
      <c r="E188" s="306"/>
      <c r="F188" s="305"/>
      <c r="G188" s="305"/>
      <c r="H188" s="305"/>
      <c r="I188" s="305"/>
      <c r="J188" s="112" t="str">
        <f>IF(AND('Mapa final'!$AB$100="Baja",'Mapa final'!$AD$100="Leve"),CONCATENATE("R33C",'Mapa final'!$R$100),"")</f>
        <v/>
      </c>
      <c r="K188" s="53" t="str">
        <f>IF(AND('Mapa final'!$AB$101="Baja",'Mapa final'!$AD$101="Leve"),CONCATENATE("R33C",'Mapa final'!$R$101),"")</f>
        <v/>
      </c>
      <c r="L188" s="113" t="str">
        <f>IF(AND('Mapa final'!$AB$102="Baja",'Mapa final'!$AD$102="Leve"),CONCATENATE("R33C",'Mapa final'!$R$102),"")</f>
        <v/>
      </c>
      <c r="M188" s="48" t="str">
        <f>IF(AND('Mapa final'!$AB$100="Baja",'Mapa final'!$AD$100="Menor"),CONCATENATE("R33C",'Mapa final'!$R$100),"")</f>
        <v/>
      </c>
      <c r="N188" s="49" t="str">
        <f>IF(AND('Mapa final'!$AB$101="Baja",'Mapa final'!$AD$101="Menor"),CONCATENATE("R33C",'Mapa final'!$R$101),"")</f>
        <v/>
      </c>
      <c r="O188" s="108" t="str">
        <f>IF(AND('Mapa final'!$AB$102="Baja",'Mapa final'!$AD$102="Menor"),CONCATENATE("R33C",'Mapa final'!$R$102),"")</f>
        <v/>
      </c>
      <c r="P188" s="48" t="str">
        <f>IF(AND('Mapa final'!$AB$100="Baja",'Mapa final'!$AD$100="Moderado"),CONCATENATE("R33C",'Mapa final'!$R$100),"")</f>
        <v/>
      </c>
      <c r="Q188" s="49" t="str">
        <f>IF(AND('Mapa final'!$AB$101="Baja",'Mapa final'!$AD$101="Moderado"),CONCATENATE("R33C",'Mapa final'!$R$101),"")</f>
        <v/>
      </c>
      <c r="R188" s="108" t="str">
        <f>IF(AND('Mapa final'!$AB$102="Baja",'Mapa final'!$AD$102="Moderado"),CONCATENATE("R33C",'Mapa final'!$R$102),"")</f>
        <v/>
      </c>
      <c r="S188" s="102" t="str">
        <f>IF(AND('Mapa final'!$AB$100="Baja",'Mapa final'!$AD$100="Mayor"),CONCATENATE("R33C",'Mapa final'!$R$100),"")</f>
        <v/>
      </c>
      <c r="T188" s="41" t="str">
        <f>IF(AND('Mapa final'!$AB$101="Baja",'Mapa final'!$AD$101="Mayor"),CONCATENATE("R33C",'Mapa final'!$R$101),"")</f>
        <v/>
      </c>
      <c r="U188" s="103" t="str">
        <f>IF(AND('Mapa final'!$AB$102="Baja",'Mapa final'!$AD$102="Mayor"),CONCATENATE("R33C",'Mapa final'!$R$102),"")</f>
        <v/>
      </c>
      <c r="V188" s="42" t="str">
        <f>IF(AND('Mapa final'!$AB$100="Baja",'Mapa final'!$AD$100="Catastrófico"),CONCATENATE("R33C",'Mapa final'!$R$100),"")</f>
        <v/>
      </c>
      <c r="W188" s="43" t="str">
        <f>IF(AND('Mapa final'!$AB$101="Baja",'Mapa final'!$AD$101="Catastrófico"),CONCATENATE("R33C",'Mapa final'!$R$101),"")</f>
        <v/>
      </c>
      <c r="X188" s="97" t="str">
        <f>IF(AND('Mapa final'!$AB$102="Baja",'Mapa final'!$AD$102="Catastrófico"),CONCATENATE("R33C",'Mapa final'!$R$102),"")</f>
        <v/>
      </c>
      <c r="Y188" s="55"/>
      <c r="Z188" s="321"/>
      <c r="AA188" s="322"/>
      <c r="AB188" s="322"/>
      <c r="AC188" s="322"/>
      <c r="AD188" s="322"/>
      <c r="AE188" s="323"/>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row>
    <row r="189" spans="1:61" ht="15" customHeight="1" x14ac:dyDescent="0.25">
      <c r="A189" s="55"/>
      <c r="B189" s="316"/>
      <c r="C189" s="316"/>
      <c r="D189" s="317"/>
      <c r="E189" s="306"/>
      <c r="F189" s="305"/>
      <c r="G189" s="305"/>
      <c r="H189" s="305"/>
      <c r="I189" s="305"/>
      <c r="J189" s="112" t="str">
        <f>IF(AND('Mapa final'!$AB$103="Baja",'Mapa final'!$AD$103="Leve"),CONCATENATE("R34C",'Mapa final'!$R$103),"")</f>
        <v/>
      </c>
      <c r="K189" s="53" t="str">
        <f>IF(AND('Mapa final'!$AB$104="Baja",'Mapa final'!$AD$104="Leve"),CONCATENATE("R34C",'Mapa final'!$R$104),"")</f>
        <v/>
      </c>
      <c r="L189" s="113" t="str">
        <f>IF(AND('Mapa final'!$AB$105="Baja",'Mapa final'!$AD$105="Leve"),CONCATENATE("R34C",'Mapa final'!$R$105),"")</f>
        <v/>
      </c>
      <c r="M189" s="48" t="str">
        <f>IF(AND('Mapa final'!$AB$103="Baja",'Mapa final'!$AD$103="Menor"),CONCATENATE("R34C",'Mapa final'!$R$103),"")</f>
        <v/>
      </c>
      <c r="N189" s="49" t="str">
        <f>IF(AND('Mapa final'!$AB$104="Baja",'Mapa final'!$AD$104="Menor"),CONCATENATE("R34C",'Mapa final'!$R$104),"")</f>
        <v/>
      </c>
      <c r="O189" s="108" t="str">
        <f>IF(AND('Mapa final'!$AB$105="Baja",'Mapa final'!$AD$105="Menor"),CONCATENATE("R34C",'Mapa final'!$R$105),"")</f>
        <v/>
      </c>
      <c r="P189" s="48" t="str">
        <f>IF(AND('Mapa final'!$AB$103="Baja",'Mapa final'!$AD$103="Moderado"),CONCATENATE("R34C",'Mapa final'!$R$103),"")</f>
        <v/>
      </c>
      <c r="Q189" s="49" t="str">
        <f>IF(AND('Mapa final'!$AB$104="Baja",'Mapa final'!$AD$104="Moderado"),CONCATENATE("R34C",'Mapa final'!$R$104),"")</f>
        <v>R34C2</v>
      </c>
      <c r="R189" s="108" t="str">
        <f>IF(AND('Mapa final'!$AB$105="Baja",'Mapa final'!$AD$105="Moderado"),CONCATENATE("R34C",'Mapa final'!$R$105),"")</f>
        <v/>
      </c>
      <c r="S189" s="102" t="str">
        <f>IF(AND('Mapa final'!$AB$103="Baja",'Mapa final'!$AD$103="Mayor"),CONCATENATE("R34C",'Mapa final'!$R$103),"")</f>
        <v/>
      </c>
      <c r="T189" s="41" t="str">
        <f>IF(AND('Mapa final'!$AB$104="Baja",'Mapa final'!$AD$104="Mayor"),CONCATENATE("R34C",'Mapa final'!$R$104),"")</f>
        <v/>
      </c>
      <c r="U189" s="103" t="str">
        <f>IF(AND('Mapa final'!$AB$105="Baja",'Mapa final'!$AD$105="Mayor"),CONCATENATE("R34C",'Mapa final'!$R$105),"")</f>
        <v/>
      </c>
      <c r="V189" s="42" t="str">
        <f>IF(AND('Mapa final'!$AB$103="Baja",'Mapa final'!$AD$103="Catastrófico"),CONCATENATE("R34C",'Mapa final'!$R$103),"")</f>
        <v/>
      </c>
      <c r="W189" s="43" t="str">
        <f>IF(AND('Mapa final'!$AB$104="Baja",'Mapa final'!$AD$104="Catastrófico"),CONCATENATE("R34C",'Mapa final'!$R$104),"")</f>
        <v/>
      </c>
      <c r="X189" s="97" t="str">
        <f>IF(AND('Mapa final'!$AB$105="Baja",'Mapa final'!$AD$105="Catastrófico"),CONCATENATE("R34C",'Mapa final'!$R$105),"")</f>
        <v/>
      </c>
      <c r="Y189" s="55"/>
      <c r="Z189" s="321"/>
      <c r="AA189" s="322"/>
      <c r="AB189" s="322"/>
      <c r="AC189" s="322"/>
      <c r="AD189" s="322"/>
      <c r="AE189" s="323"/>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row>
    <row r="190" spans="1:61" ht="15" customHeight="1" x14ac:dyDescent="0.25">
      <c r="A190" s="55"/>
      <c r="B190" s="316"/>
      <c r="C190" s="316"/>
      <c r="D190" s="317"/>
      <c r="E190" s="306"/>
      <c r="F190" s="305"/>
      <c r="G190" s="305"/>
      <c r="H190" s="305"/>
      <c r="I190" s="305"/>
      <c r="J190" s="112" t="str">
        <f>IF(AND('Mapa final'!$AB$106="Baja",'Mapa final'!$AD$106="Leve"),CONCATENATE("R35C",'Mapa final'!$R$106),"")</f>
        <v/>
      </c>
      <c r="K190" s="53" t="str">
        <f>IF(AND('Mapa final'!$AB$107="Baja",'Mapa final'!$AD$107="Leve"),CONCATENATE("R35C",'Mapa final'!$R$107),"")</f>
        <v/>
      </c>
      <c r="L190" s="113" t="str">
        <f>IF(AND('Mapa final'!$AB$108="Baja",'Mapa final'!$AD$108="Leve"),CONCATENATE("R35C",'Mapa final'!$R$108),"")</f>
        <v/>
      </c>
      <c r="M190" s="48" t="str">
        <f>IF(AND('Mapa final'!$AB$106="Baja",'Mapa final'!$AD$106="Menor"),CONCATENATE("R35C",'Mapa final'!$R$106),"")</f>
        <v/>
      </c>
      <c r="N190" s="49" t="str">
        <f>IF(AND('Mapa final'!$AB$107="Baja",'Mapa final'!$AD$107="Menor"),CONCATENATE("R35C",'Mapa final'!$R$107),"")</f>
        <v/>
      </c>
      <c r="O190" s="108" t="str">
        <f>IF(AND('Mapa final'!$AB$108="Baja",'Mapa final'!$AD$108="Menor"),CONCATENATE("R35C",'Mapa final'!$R$108),"")</f>
        <v/>
      </c>
      <c r="P190" s="48" t="str">
        <f>IF(AND('Mapa final'!$AB$106="Baja",'Mapa final'!$AD$106="Moderado"),CONCATENATE("R35C",'Mapa final'!$R$106),"")</f>
        <v>R35C1</v>
      </c>
      <c r="Q190" s="49" t="str">
        <f>IF(AND('Mapa final'!$AB$107="Baja",'Mapa final'!$AD$107="Moderado"),CONCATENATE("R35C",'Mapa final'!$R$107),"")</f>
        <v>R35C2</v>
      </c>
      <c r="R190" s="108" t="str">
        <f>IF(AND('Mapa final'!$AB$108="Baja",'Mapa final'!$AD$108="Moderado"),CONCATENATE("R35C",'Mapa final'!$R$108),"")</f>
        <v/>
      </c>
      <c r="S190" s="102" t="str">
        <f>IF(AND('Mapa final'!$AB$106="Baja",'Mapa final'!$AD$106="Mayor"),CONCATENATE("R35C",'Mapa final'!$R$106),"")</f>
        <v/>
      </c>
      <c r="T190" s="41" t="str">
        <f>IF(AND('Mapa final'!$AB$107="Baja",'Mapa final'!$AD$107="Mayor"),CONCATENATE("R35C",'Mapa final'!$R$107),"")</f>
        <v/>
      </c>
      <c r="U190" s="103" t="str">
        <f>IF(AND('Mapa final'!$AB$108="Baja",'Mapa final'!$AD$108="Mayor"),CONCATENATE("R35C",'Mapa final'!$R$108),"")</f>
        <v/>
      </c>
      <c r="V190" s="42" t="str">
        <f>IF(AND('Mapa final'!$AB$106="Baja",'Mapa final'!$AD$106="Catastrófico"),CONCATENATE("R35C",'Mapa final'!$R$106),"")</f>
        <v/>
      </c>
      <c r="W190" s="43" t="str">
        <f>IF(AND('Mapa final'!$AB$107="Baja",'Mapa final'!$AD$107="Catastrófico"),CONCATENATE("R35C",'Mapa final'!$R$107),"")</f>
        <v/>
      </c>
      <c r="X190" s="97" t="str">
        <f>IF(AND('Mapa final'!$AB$108="Baja",'Mapa final'!$AD$108="Catastrófico"),CONCATENATE("R35C",'Mapa final'!$R$108),"")</f>
        <v/>
      </c>
      <c r="Y190" s="55"/>
      <c r="Z190" s="321"/>
      <c r="AA190" s="322"/>
      <c r="AB190" s="322"/>
      <c r="AC190" s="322"/>
      <c r="AD190" s="322"/>
      <c r="AE190" s="323"/>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row>
    <row r="191" spans="1:61" ht="15" customHeight="1" x14ac:dyDescent="0.25">
      <c r="A191" s="55"/>
      <c r="B191" s="316"/>
      <c r="C191" s="316"/>
      <c r="D191" s="317"/>
      <c r="E191" s="306"/>
      <c r="F191" s="305"/>
      <c r="G191" s="305"/>
      <c r="H191" s="305"/>
      <c r="I191" s="305"/>
      <c r="J191" s="112" t="str">
        <f>IF(AND('Mapa final'!$AB$109="Baja",'Mapa final'!$AD$109="Leve"),CONCATENATE("R36C",'Mapa final'!$R$109),"")</f>
        <v/>
      </c>
      <c r="K191" s="53" t="str">
        <f>IF(AND('Mapa final'!$AB$110="Baja",'Mapa final'!$AD$110="Leve"),CONCATENATE("R36C",'Mapa final'!$R$110),"")</f>
        <v/>
      </c>
      <c r="L191" s="113" t="str">
        <f>IF(AND('Mapa final'!$AB$111="Baja",'Mapa final'!$AD$111="Leve"),CONCATENATE("R36C",'Mapa final'!$R$111),"")</f>
        <v/>
      </c>
      <c r="M191" s="48" t="str">
        <f>IF(AND('Mapa final'!$AB$109="Baja",'Mapa final'!$AD$109="Menor"),CONCATENATE("R36C",'Mapa final'!$R$109),"")</f>
        <v/>
      </c>
      <c r="N191" s="49" t="str">
        <f>IF(AND('Mapa final'!$AB$110="Baja",'Mapa final'!$AD$110="Menor"),CONCATENATE("R36C",'Mapa final'!$R$110),"")</f>
        <v/>
      </c>
      <c r="O191" s="108" t="str">
        <f>IF(AND('Mapa final'!$AB$111="Baja",'Mapa final'!$AD$111="Menor"),CONCATENATE("R36C",'Mapa final'!$R$111),"")</f>
        <v/>
      </c>
      <c r="P191" s="48" t="str">
        <f>IF(AND('Mapa final'!$AB$109="Baja",'Mapa final'!$AD$109="Moderado"),CONCATENATE("R36C",'Mapa final'!$R$109),"")</f>
        <v/>
      </c>
      <c r="Q191" s="49" t="str">
        <f>IF(AND('Mapa final'!$AB$110="Baja",'Mapa final'!$AD$110="Moderado"),CONCATENATE("R36C",'Mapa final'!$R$110),"")</f>
        <v/>
      </c>
      <c r="R191" s="108" t="str">
        <f>IF(AND('Mapa final'!$AB$111="Baja",'Mapa final'!$AD$111="Moderado"),CONCATENATE("R36C",'Mapa final'!$R$111),"")</f>
        <v/>
      </c>
      <c r="S191" s="102" t="str">
        <f>IF(AND('Mapa final'!$AB$109="Baja",'Mapa final'!$AD$109="Mayor"),CONCATENATE("R36C",'Mapa final'!$R$109),"")</f>
        <v>R36C1</v>
      </c>
      <c r="T191" s="41" t="str">
        <f>IF(AND('Mapa final'!$AB$110="Baja",'Mapa final'!$AD$110="Mayor"),CONCATENATE("R36C",'Mapa final'!$R$110),"")</f>
        <v>R36C2</v>
      </c>
      <c r="U191" s="103" t="str">
        <f>IF(AND('Mapa final'!$AB$111="Baja",'Mapa final'!$AD$111="Mayor"),CONCATENATE("R36C",'Mapa final'!$R$111),"")</f>
        <v/>
      </c>
      <c r="V191" s="42" t="str">
        <f>IF(AND('Mapa final'!$AB$109="Baja",'Mapa final'!$AD$109="Catastrófico"),CONCATENATE("R36C",'Mapa final'!$R$109),"")</f>
        <v/>
      </c>
      <c r="W191" s="43" t="str">
        <f>IF(AND('Mapa final'!$AB$110="Baja",'Mapa final'!$AD$110="Catastrófico"),CONCATENATE("R36C",'Mapa final'!$R$110),"")</f>
        <v/>
      </c>
      <c r="X191" s="97" t="str">
        <f>IF(AND('Mapa final'!$AB$111="Baja",'Mapa final'!$AD$111="Catastrófico"),CONCATENATE("R36C",'Mapa final'!$R$111),"")</f>
        <v/>
      </c>
      <c r="Y191" s="55"/>
      <c r="Z191" s="321"/>
      <c r="AA191" s="322"/>
      <c r="AB191" s="322"/>
      <c r="AC191" s="322"/>
      <c r="AD191" s="322"/>
      <c r="AE191" s="323"/>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row>
    <row r="192" spans="1:61" ht="15" customHeight="1" x14ac:dyDescent="0.25">
      <c r="A192" s="55"/>
      <c r="B192" s="316"/>
      <c r="C192" s="316"/>
      <c r="D192" s="317"/>
      <c r="E192" s="306"/>
      <c r="F192" s="305"/>
      <c r="G192" s="305"/>
      <c r="H192" s="305"/>
      <c r="I192" s="305"/>
      <c r="J192" s="112" t="str">
        <f>IF(AND('Mapa final'!$AB$112="Baja",'Mapa final'!$AD$112="Leve"),CONCATENATE("R37C",'Mapa final'!$R$112),"")</f>
        <v/>
      </c>
      <c r="K192" s="53" t="str">
        <f>IF(AND('Mapa final'!$AB$113="Baja",'Mapa final'!$AD$113="Leve"),CONCATENATE("R37C",'Mapa final'!$R$113),"")</f>
        <v/>
      </c>
      <c r="L192" s="113" t="str">
        <f>IF(AND('Mapa final'!$AB$114="Baja",'Mapa final'!$AD$114="Leve"),CONCATENATE("R37C",'Mapa final'!$R$114),"")</f>
        <v/>
      </c>
      <c r="M192" s="48" t="str">
        <f>IF(AND('Mapa final'!$AB$112="Baja",'Mapa final'!$AD$112="Menor"),CONCATENATE("R37C",'Mapa final'!$R$112),"")</f>
        <v>R37C1</v>
      </c>
      <c r="N192" s="49" t="str">
        <f>IF(AND('Mapa final'!$AB$113="Baja",'Mapa final'!$AD$113="Menor"),CONCATENATE("R37C",'Mapa final'!$R$113),"")</f>
        <v>R37C2</v>
      </c>
      <c r="O192" s="108" t="str">
        <f>IF(AND('Mapa final'!$AB$114="Baja",'Mapa final'!$AD$114="Menor"),CONCATENATE("R37C",'Mapa final'!$R$114),"")</f>
        <v/>
      </c>
      <c r="P192" s="48" t="str">
        <f>IF(AND('Mapa final'!$AB$112="Baja",'Mapa final'!$AD$112="Moderado"),CONCATENATE("R37C",'Mapa final'!$R$112),"")</f>
        <v/>
      </c>
      <c r="Q192" s="49" t="str">
        <f>IF(AND('Mapa final'!$AB$113="Baja",'Mapa final'!$AD$113="Moderado"),CONCATENATE("R37C",'Mapa final'!$R$113),"")</f>
        <v/>
      </c>
      <c r="R192" s="108" t="str">
        <f>IF(AND('Mapa final'!$AB$114="Baja",'Mapa final'!$AD$114="Moderado"),CONCATENATE("R37C",'Mapa final'!$R$114),"")</f>
        <v/>
      </c>
      <c r="S192" s="102" t="str">
        <f>IF(AND('Mapa final'!$AB$112="Baja",'Mapa final'!$AD$112="Mayor"),CONCATENATE("R37C",'Mapa final'!$R$112),"")</f>
        <v/>
      </c>
      <c r="T192" s="41" t="str">
        <f>IF(AND('Mapa final'!$AB$113="Baja",'Mapa final'!$AD$113="Mayor"),CONCATENATE("R37C",'Mapa final'!$R$113),"")</f>
        <v/>
      </c>
      <c r="U192" s="103" t="str">
        <f>IF(AND('Mapa final'!$AB$114="Baja",'Mapa final'!$AD$114="Mayor"),CONCATENATE("R37C",'Mapa final'!$R$114),"")</f>
        <v/>
      </c>
      <c r="V192" s="42" t="str">
        <f>IF(AND('Mapa final'!$AB$112="Baja",'Mapa final'!$AD$112="Catastrófico"),CONCATENATE("R37C",'Mapa final'!$R$112),"")</f>
        <v/>
      </c>
      <c r="W192" s="43" t="str">
        <f>IF(AND('Mapa final'!$AB$113="Baja",'Mapa final'!$AD$113="Catastrófico"),CONCATENATE("R37C",'Mapa final'!$R$113),"")</f>
        <v/>
      </c>
      <c r="X192" s="97" t="str">
        <f>IF(AND('Mapa final'!$AB$114="Baja",'Mapa final'!$AD$114="Catastrófico"),CONCATENATE("R37C",'Mapa final'!$R$114),"")</f>
        <v/>
      </c>
      <c r="Y192" s="55"/>
      <c r="Z192" s="321"/>
      <c r="AA192" s="322"/>
      <c r="AB192" s="322"/>
      <c r="AC192" s="322"/>
      <c r="AD192" s="322"/>
      <c r="AE192" s="323"/>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row>
    <row r="193" spans="1:65" ht="15" customHeight="1" x14ac:dyDescent="0.25">
      <c r="A193" s="55"/>
      <c r="B193" s="316"/>
      <c r="C193" s="316"/>
      <c r="D193" s="317"/>
      <c r="E193" s="306"/>
      <c r="F193" s="305"/>
      <c r="G193" s="305"/>
      <c r="H193" s="305"/>
      <c r="I193" s="305"/>
      <c r="J193" s="112" t="str">
        <f>IF(AND('Mapa final'!$AB$115="Baja",'Mapa final'!$AD$115="Leve"),CONCATENATE("R38C",'Mapa final'!$R$115),"")</f>
        <v/>
      </c>
      <c r="K193" s="53" t="str">
        <f>IF(AND('Mapa final'!$AB$116="Baja",'Mapa final'!$AD$116="Leve"),CONCATENATE("R38C",'Mapa final'!$R$116),"")</f>
        <v/>
      </c>
      <c r="L193" s="113" t="str">
        <f>IF(AND('Mapa final'!$AB$117="Baja",'Mapa final'!$AD$117="Leve"),CONCATENATE("R38C",'Mapa final'!$R$117),"")</f>
        <v/>
      </c>
      <c r="M193" s="48" t="str">
        <f>IF(AND('Mapa final'!$AB$115="Baja",'Mapa final'!$AD$115="Menor"),CONCATENATE("R38C",'Mapa final'!$R$115),"")</f>
        <v>R38C1</v>
      </c>
      <c r="N193" s="49" t="str">
        <f>IF(AND('Mapa final'!$AB$116="Baja",'Mapa final'!$AD$116="Menor"),CONCATENATE("R38C",'Mapa final'!$R$116),"")</f>
        <v/>
      </c>
      <c r="O193" s="108" t="str">
        <f>IF(AND('Mapa final'!$AB$117="Baja",'Mapa final'!$AD$117="Menor"),CONCATENATE("R38C",'Mapa final'!$R$117),"")</f>
        <v/>
      </c>
      <c r="P193" s="48" t="str">
        <f>IF(AND('Mapa final'!$AB$115="Baja",'Mapa final'!$AD$115="Moderado"),CONCATENATE("R38C",'Mapa final'!$R$115),"")</f>
        <v/>
      </c>
      <c r="Q193" s="49" t="str">
        <f>IF(AND('Mapa final'!$AB$116="Baja",'Mapa final'!$AD$116="Moderado"),CONCATENATE("R38C",'Mapa final'!$R$116),"")</f>
        <v/>
      </c>
      <c r="R193" s="108" t="str">
        <f>IF(AND('Mapa final'!$AB$117="Baja",'Mapa final'!$AD$117="Moderado"),CONCATENATE("R38C",'Mapa final'!$R$117),"")</f>
        <v/>
      </c>
      <c r="S193" s="102" t="str">
        <f>IF(AND('Mapa final'!$AB$115="Baja",'Mapa final'!$AD$115="Mayor"),CONCATENATE("R38C",'Mapa final'!$R$115),"")</f>
        <v/>
      </c>
      <c r="T193" s="41" t="str">
        <f>IF(AND('Mapa final'!$AB$116="Baja",'Mapa final'!$AD$116="Mayor"),CONCATENATE("R38C",'Mapa final'!$R$116),"")</f>
        <v/>
      </c>
      <c r="U193" s="103" t="str">
        <f>IF(AND('Mapa final'!$AB$117="Baja",'Mapa final'!$AD$117="Mayor"),CONCATENATE("R38C",'Mapa final'!$R$117),"")</f>
        <v/>
      </c>
      <c r="V193" s="42" t="str">
        <f>IF(AND('Mapa final'!$AB$115="Baja",'Mapa final'!$AD$115="Catastrófico"),CONCATENATE("R38C",'Mapa final'!$R$115),"")</f>
        <v/>
      </c>
      <c r="W193" s="43" t="str">
        <f>IF(AND('Mapa final'!$AB$116="Baja",'Mapa final'!$AD$116="Catastrófico"),CONCATENATE("R38C",'Mapa final'!$R$116),"")</f>
        <v/>
      </c>
      <c r="X193" s="97" t="str">
        <f>IF(AND('Mapa final'!$AB$117="Baja",'Mapa final'!$AD$117="Catastrófico"),CONCATENATE("R38C",'Mapa final'!$R$117),"")</f>
        <v/>
      </c>
      <c r="Y193" s="55"/>
      <c r="Z193" s="321"/>
      <c r="AA193" s="322"/>
      <c r="AB193" s="322"/>
      <c r="AC193" s="322"/>
      <c r="AD193" s="322"/>
      <c r="AE193" s="323"/>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row>
    <row r="194" spans="1:65" ht="15" customHeight="1" x14ac:dyDescent="0.25">
      <c r="A194" s="55"/>
      <c r="B194" s="316"/>
      <c r="C194" s="316"/>
      <c r="D194" s="317"/>
      <c r="E194" s="306"/>
      <c r="F194" s="305"/>
      <c r="G194" s="305"/>
      <c r="H194" s="305"/>
      <c r="I194" s="305"/>
      <c r="J194" s="112" t="str">
        <f>IF(AND('Mapa final'!$AB$118="Baja",'Mapa final'!$AD$118="Leve"),CONCATENATE("R39C",'Mapa final'!$R$118),"")</f>
        <v/>
      </c>
      <c r="K194" s="53" t="str">
        <f>IF(AND('Mapa final'!$AB$119="Baja",'Mapa final'!$AD$119="Leve"),CONCATENATE("R39C",'Mapa final'!$R$119),"")</f>
        <v/>
      </c>
      <c r="L194" s="113" t="str">
        <f>IF(AND('Mapa final'!$AB$120="Baja",'Mapa final'!$AD$120="Leve"),CONCATENATE("R39C",'Mapa final'!$R$120),"")</f>
        <v/>
      </c>
      <c r="M194" s="48" t="str">
        <f>IF(AND('Mapa final'!$AB$118="Baja",'Mapa final'!$AD$118="Menor"),CONCATENATE("R39C",'Mapa final'!$R$118),"")</f>
        <v/>
      </c>
      <c r="N194" s="49" t="str">
        <f>IF(AND('Mapa final'!$AB$119="Baja",'Mapa final'!$AD$119="Menor"),CONCATENATE("R39C",'Mapa final'!$R$119),"")</f>
        <v>R39C2</v>
      </c>
      <c r="O194" s="108" t="str">
        <f>IF(AND('Mapa final'!$AB$120="Baja",'Mapa final'!$AD$120="Menor"),CONCATENATE("R39C",'Mapa final'!$R$120),"")</f>
        <v>R39C3</v>
      </c>
      <c r="P194" s="48" t="str">
        <f>IF(AND('Mapa final'!$AB$118="Baja",'Mapa final'!$AD$118="Moderado"),CONCATENATE("R39C",'Mapa final'!$R$118),"")</f>
        <v/>
      </c>
      <c r="Q194" s="49" t="str">
        <f>IF(AND('Mapa final'!$AB$119="Baja",'Mapa final'!$AD$119="Moderado"),CONCATENATE("R39C",'Mapa final'!$R$119),"")</f>
        <v/>
      </c>
      <c r="R194" s="108" t="str">
        <f>IF(AND('Mapa final'!$AB$120="Baja",'Mapa final'!$AD$120="Moderado"),CONCATENATE("R39C",'Mapa final'!$R$120),"")</f>
        <v/>
      </c>
      <c r="S194" s="102" t="str">
        <f>IF(AND('Mapa final'!$AB$118="Baja",'Mapa final'!$AD$118="Mayor"),CONCATENATE("R39C",'Mapa final'!$R$118),"")</f>
        <v/>
      </c>
      <c r="T194" s="41" t="str">
        <f>IF(AND('Mapa final'!$AB$119="Baja",'Mapa final'!$AD$119="Mayor"),CONCATENATE("R39C",'Mapa final'!$R$119),"")</f>
        <v/>
      </c>
      <c r="U194" s="103" t="str">
        <f>IF(AND('Mapa final'!$AB$120="Baja",'Mapa final'!$AD$120="Mayor"),CONCATENATE("R39C",'Mapa final'!$R$120),"")</f>
        <v/>
      </c>
      <c r="V194" s="42" t="str">
        <f>IF(AND('Mapa final'!$AB$118="Baja",'Mapa final'!$AD$118="Catastrófico"),CONCATENATE("R39C",'Mapa final'!$R$118),"")</f>
        <v/>
      </c>
      <c r="W194" s="43" t="str">
        <f>IF(AND('Mapa final'!$AB$119="Baja",'Mapa final'!$AD$119="Catastrófico"),CONCATENATE("R39C",'Mapa final'!$R$119),"")</f>
        <v/>
      </c>
      <c r="X194" s="97" t="str">
        <f>IF(AND('Mapa final'!$AB$120="Baja",'Mapa final'!$AD$120="Catastrófico"),CONCATENATE("R39C",'Mapa final'!$R$120),"")</f>
        <v/>
      </c>
      <c r="Y194" s="55"/>
      <c r="Z194" s="321"/>
      <c r="AA194" s="322"/>
      <c r="AB194" s="322"/>
      <c r="AC194" s="322"/>
      <c r="AD194" s="322"/>
      <c r="AE194" s="323"/>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row>
    <row r="195" spans="1:65" ht="15" customHeight="1" x14ac:dyDescent="0.25">
      <c r="A195" s="55"/>
      <c r="B195" s="316"/>
      <c r="C195" s="316"/>
      <c r="D195" s="317"/>
      <c r="E195" s="306"/>
      <c r="F195" s="305"/>
      <c r="G195" s="305"/>
      <c r="H195" s="305"/>
      <c r="I195" s="305"/>
      <c r="J195" s="112" t="str">
        <f>IF(AND('Mapa final'!$AB$121="Baja",'Mapa final'!$AD$121="Leve"),CONCATENATE("R40C",'Mapa final'!$R$121),"")</f>
        <v/>
      </c>
      <c r="K195" s="53" t="str">
        <f>IF(AND('Mapa final'!$AB$122="Baja",'Mapa final'!$AD$122="Leve"),CONCATENATE("R40C",'Mapa final'!$R$122),"")</f>
        <v>R40C2</v>
      </c>
      <c r="L195" s="113" t="str">
        <f>IF(AND('Mapa final'!$AB$123="Baja",'Mapa final'!$AD$123="Leve"),CONCATENATE("R40C",'Mapa final'!$R$123),"")</f>
        <v/>
      </c>
      <c r="M195" s="48" t="str">
        <f>IF(AND('Mapa final'!$AB$121="Baja",'Mapa final'!$AD$121="Menor"),CONCATENATE("R40C",'Mapa final'!$R$121),"")</f>
        <v/>
      </c>
      <c r="N195" s="49" t="str">
        <f>IF(AND('Mapa final'!$AB$122="Baja",'Mapa final'!$AD$122="Menor"),CONCATENATE("R40C",'Mapa final'!$R$122),"")</f>
        <v/>
      </c>
      <c r="O195" s="108" t="str">
        <f>IF(AND('Mapa final'!$AB$123="Baja",'Mapa final'!$AD$123="Menor"),CONCATENATE("R40C",'Mapa final'!$R$123),"")</f>
        <v/>
      </c>
      <c r="P195" s="48" t="str">
        <f>IF(AND('Mapa final'!$AB$121="Baja",'Mapa final'!$AD$121="Moderado"),CONCATENATE("R40C",'Mapa final'!$R$121),"")</f>
        <v>R40C1</v>
      </c>
      <c r="Q195" s="49" t="str">
        <f>IF(AND('Mapa final'!$AB$122="Baja",'Mapa final'!$AD$122="Moderado"),CONCATENATE("R40C",'Mapa final'!$R$122),"")</f>
        <v/>
      </c>
      <c r="R195" s="108" t="str">
        <f>IF(AND('Mapa final'!$AB$123="Baja",'Mapa final'!$AD$123="Moderado"),CONCATENATE("R40C",'Mapa final'!$R$123),"")</f>
        <v/>
      </c>
      <c r="S195" s="102" t="str">
        <f>IF(AND('Mapa final'!$AB$121="Baja",'Mapa final'!$AD$121="Mayor"),CONCATENATE("R40C",'Mapa final'!$R$121),"")</f>
        <v/>
      </c>
      <c r="T195" s="41" t="str">
        <f>IF(AND('Mapa final'!$AB$122="Baja",'Mapa final'!$AD$122="Mayor"),CONCATENATE("R40C",'Mapa final'!$R$122),"")</f>
        <v/>
      </c>
      <c r="U195" s="103" t="str">
        <f>IF(AND('Mapa final'!$AB$123="Baja",'Mapa final'!$AD$123="Mayor"),CONCATENATE("R40C",'Mapa final'!$R$123),"")</f>
        <v/>
      </c>
      <c r="V195" s="42" t="str">
        <f>IF(AND('Mapa final'!$AB$121="Baja",'Mapa final'!$AD$121="Catastrófico"),CONCATENATE("R40C",'Mapa final'!$R$121),"")</f>
        <v/>
      </c>
      <c r="W195" s="43" t="str">
        <f>IF(AND('Mapa final'!$AB$122="Baja",'Mapa final'!$AD$122="Catastrófico"),CONCATENATE("R40C",'Mapa final'!$R$122),"")</f>
        <v/>
      </c>
      <c r="X195" s="97" t="str">
        <f>IF(AND('Mapa final'!$AB$123="Baja",'Mapa final'!$AD$123="Catastrófico"),CONCATENATE("R40C",'Mapa final'!$R$123),"")</f>
        <v/>
      </c>
      <c r="Y195" s="55"/>
      <c r="Z195" s="321"/>
      <c r="AA195" s="322"/>
      <c r="AB195" s="322"/>
      <c r="AC195" s="322"/>
      <c r="AD195" s="322"/>
      <c r="AE195" s="323"/>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row>
    <row r="196" spans="1:65" ht="15" customHeight="1" x14ac:dyDescent="0.25">
      <c r="A196" s="55"/>
      <c r="B196" s="316"/>
      <c r="C196" s="316"/>
      <c r="D196" s="317"/>
      <c r="E196" s="306"/>
      <c r="F196" s="305"/>
      <c r="G196" s="305"/>
      <c r="H196" s="305"/>
      <c r="I196" s="305"/>
      <c r="J196" s="112" t="str">
        <f>IF(AND('Mapa final'!$AB$124="Baja",'Mapa final'!$AD$124="Leve"),CONCATENATE("R41C",'Mapa final'!$R$124),"")</f>
        <v/>
      </c>
      <c r="K196" s="53" t="str">
        <f>IF(AND('Mapa final'!$AB$125="Baja",'Mapa final'!$AD$125="Leve"),CONCATENATE("R41C",'Mapa final'!$R$125),"")</f>
        <v/>
      </c>
      <c r="L196" s="113" t="str">
        <f>IF(AND('Mapa final'!$AB$126="Baja",'Mapa final'!$AD$126="Leve"),CONCATENATE("R41C",'Mapa final'!$R$126),"")</f>
        <v/>
      </c>
      <c r="M196" s="48" t="str">
        <f>IF(AND('Mapa final'!$AB$124="Baja",'Mapa final'!$AD$124="Menor"),CONCATENATE("R41C",'Mapa final'!$R$124),"")</f>
        <v/>
      </c>
      <c r="N196" s="49" t="str">
        <f>IF(AND('Mapa final'!$AB$125="Baja",'Mapa final'!$AD$125="Menor"),CONCATENATE("R41C",'Mapa final'!$R$125),"")</f>
        <v/>
      </c>
      <c r="O196" s="108" t="str">
        <f>IF(AND('Mapa final'!$AB$126="Baja",'Mapa final'!$AD$126="Menor"),CONCATENATE("R41C",'Mapa final'!$R$126),"")</f>
        <v/>
      </c>
      <c r="P196" s="48" t="str">
        <f>IF(AND('Mapa final'!$AB$124="Baja",'Mapa final'!$AD$124="Moderado"),CONCATENATE("R41C",'Mapa final'!$R$124),"")</f>
        <v/>
      </c>
      <c r="Q196" s="49" t="str">
        <f>IF(AND('Mapa final'!$AB$125="Baja",'Mapa final'!$AD$125="Moderado"),CONCATENATE("R41C",'Mapa final'!$R$125),"")</f>
        <v/>
      </c>
      <c r="R196" s="108" t="str">
        <f>IF(AND('Mapa final'!$AB$126="Baja",'Mapa final'!$AD$126="Moderado"),CONCATENATE("R41C",'Mapa final'!$R$126),"")</f>
        <v/>
      </c>
      <c r="S196" s="102" t="str">
        <f>IF(AND('Mapa final'!$AB$124="Baja",'Mapa final'!$AD$124="Mayor"),CONCATENATE("R41C",'Mapa final'!$R$124),"")</f>
        <v/>
      </c>
      <c r="T196" s="41" t="str">
        <f>IF(AND('Mapa final'!$AB$125="Baja",'Mapa final'!$AD$125="Mayor"),CONCATENATE("R41C",'Mapa final'!$R$125),"")</f>
        <v/>
      </c>
      <c r="U196" s="103" t="str">
        <f>IF(AND('Mapa final'!$AB$126="Baja",'Mapa final'!$AD$126="Mayor"),CONCATENATE("R41C",'Mapa final'!$R$126),"")</f>
        <v/>
      </c>
      <c r="V196" s="42" t="str">
        <f>IF(AND('Mapa final'!$AB$124="Baja",'Mapa final'!$AD$124="Catastrófico"),CONCATENATE("R41C",'Mapa final'!$R$124),"")</f>
        <v/>
      </c>
      <c r="W196" s="43" t="str">
        <f>IF(AND('Mapa final'!$AB$125="Baja",'Mapa final'!$AD$125="Catastrófico"),CONCATENATE("R41C",'Mapa final'!$R$125),"")</f>
        <v/>
      </c>
      <c r="X196" s="97" t="str">
        <f>IF(AND('Mapa final'!$AB$126="Baja",'Mapa final'!$AD$126="Catastrófico"),CONCATENATE("R41C",'Mapa final'!$R$126),"")</f>
        <v/>
      </c>
      <c r="Y196" s="55"/>
      <c r="Z196" s="321"/>
      <c r="AA196" s="322"/>
      <c r="AB196" s="322"/>
      <c r="AC196" s="322"/>
      <c r="AD196" s="322"/>
      <c r="AE196" s="323"/>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row>
    <row r="197" spans="1:65" ht="15" customHeight="1" x14ac:dyDescent="0.25">
      <c r="A197" s="55"/>
      <c r="B197" s="316"/>
      <c r="C197" s="316"/>
      <c r="D197" s="317"/>
      <c r="E197" s="306"/>
      <c r="F197" s="305"/>
      <c r="G197" s="305"/>
      <c r="H197" s="305"/>
      <c r="I197" s="305"/>
      <c r="J197" s="112" t="str">
        <f>IF(AND('Mapa final'!$AB$127="Baja",'Mapa final'!$AD$127="Leve"),CONCATENATE("R42C",'Mapa final'!$R$127),"")</f>
        <v/>
      </c>
      <c r="K197" s="53" t="str">
        <f>IF(AND('Mapa final'!$AB$128="Baja",'Mapa final'!$AD$128="Leve"),CONCATENATE("R42C",'Mapa final'!$R$128),"")</f>
        <v/>
      </c>
      <c r="L197" s="113" t="str">
        <f>IF(AND('Mapa final'!$AB$129="Baja",'Mapa final'!$AD$129="Leve"),CONCATENATE("R42C",'Mapa final'!$R$129),"")</f>
        <v/>
      </c>
      <c r="M197" s="48" t="str">
        <f>IF(AND('Mapa final'!$AB$127="Baja",'Mapa final'!$AD$127="Menor"),CONCATENATE("R42C",'Mapa final'!$R$127),"")</f>
        <v/>
      </c>
      <c r="N197" s="49" t="str">
        <f>IF(AND('Mapa final'!$AB$128="Baja",'Mapa final'!$AD$128="Menor"),CONCATENATE("R42C",'Mapa final'!$R$128),"")</f>
        <v/>
      </c>
      <c r="O197" s="108" t="str">
        <f>IF(AND('Mapa final'!$AB$129="Baja",'Mapa final'!$AD$129="Menor"),CONCATENATE("R42C",'Mapa final'!$R$129),"")</f>
        <v/>
      </c>
      <c r="P197" s="48" t="str">
        <f>IF(AND('Mapa final'!$AB$127="Baja",'Mapa final'!$AD$127="Moderado"),CONCATENATE("R42C",'Mapa final'!$R$127),"")</f>
        <v>R42C1</v>
      </c>
      <c r="Q197" s="49" t="str">
        <f>IF(AND('Mapa final'!$AB$128="Baja",'Mapa final'!$AD$128="Moderado"),CONCATENATE("R42C",'Mapa final'!$R$128),"")</f>
        <v/>
      </c>
      <c r="R197" s="108" t="str">
        <f>IF(AND('Mapa final'!$AB$129="Baja",'Mapa final'!$AD$129="Moderado"),CONCATENATE("R42C",'Mapa final'!$R$129),"")</f>
        <v/>
      </c>
      <c r="S197" s="102" t="str">
        <f>IF(AND('Mapa final'!$AB$127="Baja",'Mapa final'!$AD$127="Mayor"),CONCATENATE("R42C",'Mapa final'!$R$127),"")</f>
        <v/>
      </c>
      <c r="T197" s="41" t="str">
        <f>IF(AND('Mapa final'!$AB$128="Baja",'Mapa final'!$AD$128="Mayor"),CONCATENATE("R42C",'Mapa final'!$R$128),"")</f>
        <v/>
      </c>
      <c r="U197" s="103" t="str">
        <f>IF(AND('Mapa final'!$AB$129="Baja",'Mapa final'!$AD$129="Mayor"),CONCATENATE("R42C",'Mapa final'!$R$129),"")</f>
        <v/>
      </c>
      <c r="V197" s="42" t="str">
        <f>IF(AND('Mapa final'!$AB$127="Baja",'Mapa final'!$AD$127="Catastrófico"),CONCATENATE("R42C",'Mapa final'!$R$127),"")</f>
        <v/>
      </c>
      <c r="W197" s="43" t="str">
        <f>IF(AND('Mapa final'!$AB$128="Baja",'Mapa final'!$AD$128="Catastrófico"),CONCATENATE("R42C",'Mapa final'!$R$128),"")</f>
        <v/>
      </c>
      <c r="X197" s="97" t="str">
        <f>IF(AND('Mapa final'!$AB$129="Baja",'Mapa final'!$AD$129="Catastrófico"),CONCATENATE("R42C",'Mapa final'!$R$129),"")</f>
        <v/>
      </c>
      <c r="Y197" s="55"/>
      <c r="Z197" s="321"/>
      <c r="AA197" s="322"/>
      <c r="AB197" s="322"/>
      <c r="AC197" s="322"/>
      <c r="AD197" s="322"/>
      <c r="AE197" s="323"/>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c r="BI197" s="55"/>
    </row>
    <row r="198" spans="1:65" ht="15" customHeight="1" x14ac:dyDescent="0.25">
      <c r="A198" s="55"/>
      <c r="B198" s="316"/>
      <c r="C198" s="316"/>
      <c r="D198" s="317"/>
      <c r="E198" s="306"/>
      <c r="F198" s="305"/>
      <c r="G198" s="305"/>
      <c r="H198" s="305"/>
      <c r="I198" s="305"/>
      <c r="J198" s="112" t="str">
        <f>IF(AND('Mapa final'!$AB$130="Baja",'Mapa final'!$AD$130="Leve"),CONCATENATE("R43C",'Mapa final'!$R$130),"")</f>
        <v/>
      </c>
      <c r="K198" s="53" t="str">
        <f>IF(AND('Mapa final'!$AB$131="Baja",'Mapa final'!$AD$131="Leve"),CONCATENATE("R43C",'Mapa final'!$R$131),"")</f>
        <v/>
      </c>
      <c r="L198" s="113" t="str">
        <f>IF(AND('Mapa final'!$AB$132="Baja",'Mapa final'!$AD$132="Leve"),CONCATENATE("R43C",'Mapa final'!$R$132),"")</f>
        <v/>
      </c>
      <c r="M198" s="48" t="str">
        <f>IF(AND('Mapa final'!$AB$130="Baja",'Mapa final'!$AD$130="Menor"),CONCATENATE("R43C",'Mapa final'!$R$130),"")</f>
        <v/>
      </c>
      <c r="N198" s="49" t="str">
        <f>IF(AND('Mapa final'!$AB$131="Baja",'Mapa final'!$AD$131="Menor"),CONCATENATE("R43C",'Mapa final'!$R$131),"")</f>
        <v/>
      </c>
      <c r="O198" s="108" t="str">
        <f>IF(AND('Mapa final'!$AB$132="Baja",'Mapa final'!$AD$132="Menor"),CONCATENATE("R43C",'Mapa final'!$R$132),"")</f>
        <v/>
      </c>
      <c r="P198" s="48" t="str">
        <f>IF(AND('Mapa final'!$AB$130="Baja",'Mapa final'!$AD$130="Moderado"),CONCATENATE("R43C",'Mapa final'!$R$130),"")</f>
        <v/>
      </c>
      <c r="Q198" s="49" t="str">
        <f>IF(AND('Mapa final'!$AB$131="Baja",'Mapa final'!$AD$131="Moderado"),CONCATENATE("R43C",'Mapa final'!$R$131),"")</f>
        <v/>
      </c>
      <c r="R198" s="108" t="str">
        <f>IF(AND('Mapa final'!$AB$132="Baja",'Mapa final'!$AD$132="Moderado"),CONCATENATE("R43C",'Mapa final'!$R$132),"")</f>
        <v/>
      </c>
      <c r="S198" s="102" t="str">
        <f>IF(AND('Mapa final'!$AB$130="Baja",'Mapa final'!$AD$130="Mayor"),CONCATENATE("R43C",'Mapa final'!$R$130),"")</f>
        <v/>
      </c>
      <c r="T198" s="41" t="str">
        <f>IF(AND('Mapa final'!$AB$131="Baja",'Mapa final'!$AD$131="Mayor"),CONCATENATE("R43C",'Mapa final'!$R$131),"")</f>
        <v>R43C2</v>
      </c>
      <c r="U198" s="103" t="str">
        <f>IF(AND('Mapa final'!$AB$132="Baja",'Mapa final'!$AD$132="Mayor"),CONCATENATE("R43C",'Mapa final'!$R$132),"")</f>
        <v/>
      </c>
      <c r="V198" s="42" t="str">
        <f>IF(AND('Mapa final'!$AB$130="Baja",'Mapa final'!$AD$130="Catastrófico"),CONCATENATE("R43C",'Mapa final'!$R$130),"")</f>
        <v/>
      </c>
      <c r="W198" s="43" t="str">
        <f>IF(AND('Mapa final'!$AB$131="Baja",'Mapa final'!$AD$131="Catastrófico"),CONCATENATE("R43C",'Mapa final'!$R$131),"")</f>
        <v/>
      </c>
      <c r="X198" s="97" t="str">
        <f>IF(AND('Mapa final'!$AB$132="Baja",'Mapa final'!$AD$132="Catastrófico"),CONCATENATE("R43C",'Mapa final'!$R$132),"")</f>
        <v/>
      </c>
      <c r="Y198" s="55"/>
      <c r="Z198" s="321"/>
      <c r="AA198" s="322"/>
      <c r="AB198" s="322"/>
      <c r="AC198" s="322"/>
      <c r="AD198" s="322"/>
      <c r="AE198" s="323"/>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c r="BI198" s="55"/>
    </row>
    <row r="199" spans="1:65" ht="15" customHeight="1" x14ac:dyDescent="0.25">
      <c r="A199" s="55"/>
      <c r="B199" s="316"/>
      <c r="C199" s="316"/>
      <c r="D199" s="317"/>
      <c r="E199" s="306"/>
      <c r="F199" s="305"/>
      <c r="G199" s="305"/>
      <c r="H199" s="305"/>
      <c r="I199" s="305"/>
      <c r="J199" s="112" t="str">
        <f>IF(AND('Mapa final'!$AB$133="Baja",'Mapa final'!$AD$133="Leve"),CONCATENATE("R44C",'Mapa final'!$R$133),"")</f>
        <v/>
      </c>
      <c r="K199" s="53" t="str">
        <f>IF(AND('Mapa final'!$AB$134="Baja",'Mapa final'!$AD$134="Leve"),CONCATENATE("R44C",'Mapa final'!$R$134),"")</f>
        <v/>
      </c>
      <c r="L199" s="113" t="str">
        <f>IF(AND('Mapa final'!$AB$135="Baja",'Mapa final'!$AD$135="Leve"),CONCATENATE("R44C",'Mapa final'!$R$135),"")</f>
        <v/>
      </c>
      <c r="M199" s="48" t="str">
        <f>IF(AND('Mapa final'!$AB$133="Baja",'Mapa final'!$AD$133="Menor"),CONCATENATE("R44C",'Mapa final'!$R$133),"")</f>
        <v/>
      </c>
      <c r="N199" s="49" t="str">
        <f>IF(AND('Mapa final'!$AB$134="Baja",'Mapa final'!$AD$134="Menor"),CONCATENATE("R44C",'Mapa final'!$R$134),"")</f>
        <v/>
      </c>
      <c r="O199" s="108" t="str">
        <f>IF(AND('Mapa final'!$AB$135="Baja",'Mapa final'!$AD$135="Menor"),CONCATENATE("R44C",'Mapa final'!$R$135),"")</f>
        <v/>
      </c>
      <c r="P199" s="48" t="str">
        <f>IF(AND('Mapa final'!$AB$133="Baja",'Mapa final'!$AD$133="Moderado"),CONCATENATE("R44C",'Mapa final'!$R$133),"")</f>
        <v/>
      </c>
      <c r="Q199" s="49" t="str">
        <f>IF(AND('Mapa final'!$AB$134="Baja",'Mapa final'!$AD$134="Moderado"),CONCATENATE("R44C",'Mapa final'!$R$134),"")</f>
        <v>R44C2</v>
      </c>
      <c r="R199" s="108" t="str">
        <f>IF(AND('Mapa final'!$AB$135="Baja",'Mapa final'!$AD$135="Moderado"),CONCATENATE("R44C",'Mapa final'!$R$135),"")</f>
        <v>R44C3</v>
      </c>
      <c r="S199" s="102" t="str">
        <f>IF(AND('Mapa final'!$AB$133="Baja",'Mapa final'!$AD$133="Mayor"),CONCATENATE("R44C",'Mapa final'!$R$133),"")</f>
        <v/>
      </c>
      <c r="T199" s="41" t="str">
        <f>IF(AND('Mapa final'!$AB$134="Baja",'Mapa final'!$AD$134="Mayor"),CONCATENATE("R44C",'Mapa final'!$R$134),"")</f>
        <v/>
      </c>
      <c r="U199" s="103" t="str">
        <f>IF(AND('Mapa final'!$AB$135="Baja",'Mapa final'!$AD$135="Mayor"),CONCATENATE("R44C",'Mapa final'!$R$135),"")</f>
        <v/>
      </c>
      <c r="V199" s="42" t="str">
        <f>IF(AND('Mapa final'!$AB$133="Baja",'Mapa final'!$AD$133="Catastrófico"),CONCATENATE("R44C",'Mapa final'!$R$133),"")</f>
        <v/>
      </c>
      <c r="W199" s="43" t="str">
        <f>IF(AND('Mapa final'!$AB$134="Baja",'Mapa final'!$AD$134="Catastrófico"),CONCATENATE("R44C",'Mapa final'!$R$134),"")</f>
        <v/>
      </c>
      <c r="X199" s="97" t="str">
        <f>IF(AND('Mapa final'!$AB$135="Baja",'Mapa final'!$AD$135="Catastrófico"),CONCATENATE("R44C",'Mapa final'!$R$135),"")</f>
        <v/>
      </c>
      <c r="Y199" s="55"/>
      <c r="Z199" s="321"/>
      <c r="AA199" s="322"/>
      <c r="AB199" s="322"/>
      <c r="AC199" s="322"/>
      <c r="AD199" s="322"/>
      <c r="AE199" s="323"/>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c r="BI199" s="55"/>
    </row>
    <row r="200" spans="1:65" ht="15" customHeight="1" x14ac:dyDescent="0.25">
      <c r="A200" s="55"/>
      <c r="B200" s="316"/>
      <c r="C200" s="316"/>
      <c r="D200" s="317"/>
      <c r="E200" s="306"/>
      <c r="F200" s="305"/>
      <c r="G200" s="305"/>
      <c r="H200" s="305"/>
      <c r="I200" s="305"/>
      <c r="J200" s="112" t="str">
        <f>IF(AND('Mapa final'!$AB$136="Baja",'Mapa final'!$AD$136="Leve"),CONCATENATE("R45C",'Mapa final'!$R$136),"")</f>
        <v/>
      </c>
      <c r="K200" s="53" t="str">
        <f>IF(AND('Mapa final'!$AB$137="Baja",'Mapa final'!$AD$137="Leve"),CONCATENATE("R45C",'Mapa final'!$R$137),"")</f>
        <v/>
      </c>
      <c r="L200" s="113" t="str">
        <f>IF(AND('Mapa final'!$AB$138="Baja",'Mapa final'!$AD$138="Leve"),CONCATENATE("R45C",'Mapa final'!$R$138),"")</f>
        <v/>
      </c>
      <c r="M200" s="48" t="str">
        <f>IF(AND('Mapa final'!$AB$136="Baja",'Mapa final'!$AD$136="Menor"),CONCATENATE("R45C",'Mapa final'!$R$136),"")</f>
        <v/>
      </c>
      <c r="N200" s="49" t="str">
        <f>IF(AND('Mapa final'!$AB$137="Baja",'Mapa final'!$AD$137="Menor"),CONCATENATE("R45C",'Mapa final'!$R$137),"")</f>
        <v/>
      </c>
      <c r="O200" s="108" t="str">
        <f>IF(AND('Mapa final'!$AB$138="Baja",'Mapa final'!$AD$138="Menor"),CONCATENATE("R45C",'Mapa final'!$R$138),"")</f>
        <v/>
      </c>
      <c r="P200" s="48" t="str">
        <f>IF(AND('Mapa final'!$AB$136="Baja",'Mapa final'!$AD$136="Moderado"),CONCATENATE("R45C",'Mapa final'!$R$136),"")</f>
        <v/>
      </c>
      <c r="Q200" s="49" t="str">
        <f>IF(AND('Mapa final'!$AB$137="Baja",'Mapa final'!$AD$137="Moderado"),CONCATENATE("R45C",'Mapa final'!$R$137),"")</f>
        <v/>
      </c>
      <c r="R200" s="108" t="str">
        <f>IF(AND('Mapa final'!$AB$138="Baja",'Mapa final'!$AD$138="Moderado"),CONCATENATE("R45C",'Mapa final'!$R$138),"")</f>
        <v/>
      </c>
      <c r="S200" s="102" t="str">
        <f>IF(AND('Mapa final'!$AB$136="Baja",'Mapa final'!$AD$136="Mayor"),CONCATENATE("R45C",'Mapa final'!$R$136),"")</f>
        <v/>
      </c>
      <c r="T200" s="41" t="str">
        <f>IF(AND('Mapa final'!$AB$137="Baja",'Mapa final'!$AD$137="Mayor"),CONCATENATE("R45C",'Mapa final'!$R$137),"")</f>
        <v/>
      </c>
      <c r="U200" s="103" t="str">
        <f>IF(AND('Mapa final'!$AB$138="Baja",'Mapa final'!$AD$138="Mayor"),CONCATENATE("R45C",'Mapa final'!$R$138),"")</f>
        <v/>
      </c>
      <c r="V200" s="42" t="str">
        <f>IF(AND('Mapa final'!$AB$136="Baja",'Mapa final'!$AD$136="Catastrófico"),CONCATENATE("R45C",'Mapa final'!$R$136),"")</f>
        <v/>
      </c>
      <c r="W200" s="43" t="str">
        <f>IF(AND('Mapa final'!$AB$137="Baja",'Mapa final'!$AD$137="Catastrófico"),CONCATENATE("R45C",'Mapa final'!$R$137),"")</f>
        <v/>
      </c>
      <c r="X200" s="97" t="str">
        <f>IF(AND('Mapa final'!$AB$138="Baja",'Mapa final'!$AD$138="Catastrófico"),CONCATENATE("R45C",'Mapa final'!$R$138),"")</f>
        <v/>
      </c>
      <c r="Y200" s="55"/>
      <c r="Z200" s="321"/>
      <c r="AA200" s="322"/>
      <c r="AB200" s="322"/>
      <c r="AC200" s="322"/>
      <c r="AD200" s="322"/>
      <c r="AE200" s="323"/>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c r="BI200" s="55"/>
    </row>
    <row r="201" spans="1:65" ht="15" customHeight="1" x14ac:dyDescent="0.25">
      <c r="A201" s="55"/>
      <c r="B201" s="316"/>
      <c r="C201" s="316"/>
      <c r="D201" s="317"/>
      <c r="E201" s="306"/>
      <c r="F201" s="305"/>
      <c r="G201" s="305"/>
      <c r="H201" s="305"/>
      <c r="I201" s="305"/>
      <c r="J201" s="112" t="str">
        <f>IF(AND('Mapa final'!$AB$139="Baja",'Mapa final'!$AD$139="Leve"),CONCATENATE("R46C",'Mapa final'!$R$139),"")</f>
        <v/>
      </c>
      <c r="K201" s="53" t="str">
        <f>IF(AND('Mapa final'!$AB$140="Baja",'Mapa final'!$AD$140="Leve"),CONCATENATE("R46C",'Mapa final'!$R$140),"")</f>
        <v/>
      </c>
      <c r="L201" s="113" t="str">
        <f>IF(AND('Mapa final'!$AB$141="Baja",'Mapa final'!$AD$141="Leve"),CONCATENATE("R46C",'Mapa final'!$R$141),"")</f>
        <v/>
      </c>
      <c r="M201" s="48" t="str">
        <f>IF(AND('Mapa final'!$AB$139="Baja",'Mapa final'!$AD$139="Menor"),CONCATENATE("R46C",'Mapa final'!$R$139),"")</f>
        <v/>
      </c>
      <c r="N201" s="49" t="str">
        <f>IF(AND('Mapa final'!$AB$140="Baja",'Mapa final'!$AD$140="Menor"),CONCATENATE("R46C",'Mapa final'!$R$140),"")</f>
        <v/>
      </c>
      <c r="O201" s="108" t="str">
        <f>IF(AND('Mapa final'!$AB$141="Baja",'Mapa final'!$AD$141="Menor"),CONCATENATE("R46C",'Mapa final'!$R$141),"")</f>
        <v/>
      </c>
      <c r="P201" s="48" t="str">
        <f>IF(AND('Mapa final'!$AB$139="Baja",'Mapa final'!$AD$139="Moderado"),CONCATENATE("R46C",'Mapa final'!$R$139),"")</f>
        <v/>
      </c>
      <c r="Q201" s="49" t="str">
        <f>IF(AND('Mapa final'!$AB$140="Baja",'Mapa final'!$AD$140="Moderado"),CONCATENATE("R46C",'Mapa final'!$R$140),"")</f>
        <v/>
      </c>
      <c r="R201" s="108" t="str">
        <f>IF(AND('Mapa final'!$AB$141="Baja",'Mapa final'!$AD$141="Moderado"),CONCATENATE("R46C",'Mapa final'!$R$141),"")</f>
        <v/>
      </c>
      <c r="S201" s="102" t="str">
        <f>IF(AND('Mapa final'!$AB$139="Baja",'Mapa final'!$AD$139="Mayor"),CONCATENATE("R46C",'Mapa final'!$R$139),"")</f>
        <v>R46C1</v>
      </c>
      <c r="T201" s="41" t="str">
        <f>IF(AND('Mapa final'!$AB$140="Baja",'Mapa final'!$AD$140="Mayor"),CONCATENATE("R46C",'Mapa final'!$R$140),"")</f>
        <v/>
      </c>
      <c r="U201" s="103" t="str">
        <f>IF(AND('Mapa final'!$AB$141="Baja",'Mapa final'!$AD$141="Mayor"),CONCATENATE("R46C",'Mapa final'!$R$141),"")</f>
        <v/>
      </c>
      <c r="V201" s="42" t="str">
        <f>IF(AND('Mapa final'!$AB$139="Baja",'Mapa final'!$AD$139="Catastrófico"),CONCATENATE("R46C",'Mapa final'!$R$139),"")</f>
        <v/>
      </c>
      <c r="W201" s="43" t="str">
        <f>IF(AND('Mapa final'!$AB$140="Baja",'Mapa final'!$AD$140="Catastrófico"),CONCATENATE("R46C",'Mapa final'!$R$140),"")</f>
        <v/>
      </c>
      <c r="X201" s="97" t="str">
        <f>IF(AND('Mapa final'!$AB$141="Baja",'Mapa final'!$AD$141="Catastrófico"),CONCATENATE("R46C",'Mapa final'!$R$141),"")</f>
        <v/>
      </c>
      <c r="Y201" s="55"/>
      <c r="Z201" s="321"/>
      <c r="AA201" s="322"/>
      <c r="AB201" s="322"/>
      <c r="AC201" s="322"/>
      <c r="AD201" s="322"/>
      <c r="AE201" s="323"/>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c r="BI201" s="55"/>
    </row>
    <row r="202" spans="1:65" ht="15" customHeight="1" x14ac:dyDescent="0.25">
      <c r="A202" s="55"/>
      <c r="B202" s="316"/>
      <c r="C202" s="316"/>
      <c r="D202" s="317"/>
      <c r="E202" s="306"/>
      <c r="F202" s="305"/>
      <c r="G202" s="305"/>
      <c r="H202" s="305"/>
      <c r="I202" s="305"/>
      <c r="J202" s="112" t="str">
        <f>IF(AND('Mapa final'!$AB$142="Baja",'Mapa final'!$AD$142="Leve"),CONCATENATE("R47C",'Mapa final'!$R$142),"")</f>
        <v/>
      </c>
      <c r="K202" s="53" t="str">
        <f>IF(AND('Mapa final'!$AB$143="Baja",'Mapa final'!$AD$143="Leve"),CONCATENATE("R47C",'Mapa final'!$R$143),"")</f>
        <v/>
      </c>
      <c r="L202" s="113" t="str">
        <f>IF(AND('Mapa final'!$AB$144="Baja",'Mapa final'!$AD$144="Leve"),CONCATENATE("R47C",'Mapa final'!$R$144),"")</f>
        <v/>
      </c>
      <c r="M202" s="48" t="str">
        <f>IF(AND('Mapa final'!$AB$142="Baja",'Mapa final'!$AD$142="Menor"),CONCATENATE("R47C",'Mapa final'!$R$142),"")</f>
        <v/>
      </c>
      <c r="N202" s="49" t="str">
        <f>IF(AND('Mapa final'!$AB$143="Baja",'Mapa final'!$AD$143="Menor"),CONCATENATE("R47C",'Mapa final'!$R$143),"")</f>
        <v/>
      </c>
      <c r="O202" s="108" t="str">
        <f>IF(AND('Mapa final'!$AB$144="Baja",'Mapa final'!$AD$144="Menor"),CONCATENATE("R47C",'Mapa final'!$R$144),"")</f>
        <v/>
      </c>
      <c r="P202" s="48" t="str">
        <f>IF(AND('Mapa final'!$AB$142="Baja",'Mapa final'!$AD$142="Moderado"),CONCATENATE("R47C",'Mapa final'!$R$142),"")</f>
        <v>R47C1</v>
      </c>
      <c r="Q202" s="49" t="str">
        <f>IF(AND('Mapa final'!$AB$143="Baja",'Mapa final'!$AD$143="Moderado"),CONCATENATE("R47C",'Mapa final'!$R$143),"")</f>
        <v/>
      </c>
      <c r="R202" s="108" t="str">
        <f>IF(AND('Mapa final'!$AB$144="Baja",'Mapa final'!$AD$144="Moderado"),CONCATENATE("R47C",'Mapa final'!$R$144),"")</f>
        <v/>
      </c>
      <c r="S202" s="102" t="str">
        <f>IF(AND('Mapa final'!$AB$142="Baja",'Mapa final'!$AD$142="Mayor"),CONCATENATE("R47C",'Mapa final'!$R$142),"")</f>
        <v/>
      </c>
      <c r="T202" s="41" t="str">
        <f>IF(AND('Mapa final'!$AB$143="Baja",'Mapa final'!$AD$143="Mayor"),CONCATENATE("R47C",'Mapa final'!$R$143),"")</f>
        <v/>
      </c>
      <c r="U202" s="103" t="str">
        <f>IF(AND('Mapa final'!$AB$144="Baja",'Mapa final'!$AD$144="Mayor"),CONCATENATE("R47C",'Mapa final'!$R$144),"")</f>
        <v/>
      </c>
      <c r="V202" s="42" t="str">
        <f>IF(AND('Mapa final'!$AB$142="Baja",'Mapa final'!$AD$142="Catastrófico"),CONCATENATE("R47C",'Mapa final'!$R$142),"")</f>
        <v/>
      </c>
      <c r="W202" s="43" t="str">
        <f>IF(AND('Mapa final'!$AB$143="Baja",'Mapa final'!$AD$143="Catastrófico"),CONCATENATE("R47C",'Mapa final'!$R$143),"")</f>
        <v/>
      </c>
      <c r="X202" s="97" t="str">
        <f>IF(AND('Mapa final'!$AB$144="Baja",'Mapa final'!$AD$144="Catastrófico"),CONCATENATE("R47C",'Mapa final'!$R$144),"")</f>
        <v/>
      </c>
      <c r="Y202" s="55"/>
      <c r="Z202" s="321"/>
      <c r="AA202" s="322"/>
      <c r="AB202" s="322"/>
      <c r="AC202" s="322"/>
      <c r="AD202" s="322"/>
      <c r="AE202" s="323"/>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c r="BI202" s="55"/>
    </row>
    <row r="203" spans="1:65" ht="15" customHeight="1" x14ac:dyDescent="0.25">
      <c r="A203" s="55"/>
      <c r="B203" s="316"/>
      <c r="C203" s="316"/>
      <c r="D203" s="317"/>
      <c r="E203" s="306"/>
      <c r="F203" s="305"/>
      <c r="G203" s="305"/>
      <c r="H203" s="305"/>
      <c r="I203" s="305"/>
      <c r="J203" s="112" t="str">
        <f>IF(AND('Mapa final'!$AB$145="Baja",'Mapa final'!$AD$145="Leve"),CONCATENATE("R48C",'Mapa final'!$R$145),"")</f>
        <v/>
      </c>
      <c r="K203" s="53" t="str">
        <f>IF(AND('Mapa final'!$AB$146="Baja",'Mapa final'!$AD$146="Leve"),CONCATENATE("R48C",'Mapa final'!$R$146),"")</f>
        <v/>
      </c>
      <c r="L203" s="113" t="str">
        <f>IF(AND('Mapa final'!$AB$147="Baja",'Mapa final'!$AD$147="Leve"),CONCATENATE("R48C",'Mapa final'!$R$147),"")</f>
        <v/>
      </c>
      <c r="M203" s="48" t="str">
        <f>IF(AND('Mapa final'!$AB$145="Baja",'Mapa final'!$AD$145="Menor"),CONCATENATE("R48C",'Mapa final'!$R$145),"")</f>
        <v/>
      </c>
      <c r="N203" s="49" t="str">
        <f>IF(AND('Mapa final'!$AB$146="Baja",'Mapa final'!$AD$146="Menor"),CONCATENATE("R48C",'Mapa final'!$R$146),"")</f>
        <v/>
      </c>
      <c r="O203" s="108" t="str">
        <f>IF(AND('Mapa final'!$AB$147="Baja",'Mapa final'!$AD$147="Menor"),CONCATENATE("R48C",'Mapa final'!$R$147),"")</f>
        <v/>
      </c>
      <c r="P203" s="48" t="str">
        <f>IF(AND('Mapa final'!$AB$145="Baja",'Mapa final'!$AD$145="Moderado"),CONCATENATE("R48C",'Mapa final'!$R$145),"")</f>
        <v/>
      </c>
      <c r="Q203" s="49" t="str">
        <f>IF(AND('Mapa final'!$AB$146="Baja",'Mapa final'!$AD$146="Moderado"),CONCATENATE("R48C",'Mapa final'!$R$146),"")</f>
        <v/>
      </c>
      <c r="R203" s="108" t="str">
        <f>IF(AND('Mapa final'!$AB$147="Baja",'Mapa final'!$AD$147="Moderado"),CONCATENATE("R48C",'Mapa final'!$R$147),"")</f>
        <v/>
      </c>
      <c r="S203" s="102" t="str">
        <f>IF(AND('Mapa final'!$AB$145="Baja",'Mapa final'!$AD$145="Mayor"),CONCATENATE("R48C",'Mapa final'!$R$145),"")</f>
        <v/>
      </c>
      <c r="T203" s="41" t="str">
        <f>IF(AND('Mapa final'!$AB$146="Baja",'Mapa final'!$AD$146="Mayor"),CONCATENATE("R48C",'Mapa final'!$R$146),"")</f>
        <v/>
      </c>
      <c r="U203" s="103" t="str">
        <f>IF(AND('Mapa final'!$AB$147="Baja",'Mapa final'!$AD$147="Mayor"),CONCATENATE("R48C",'Mapa final'!$R$147),"")</f>
        <v/>
      </c>
      <c r="V203" s="42" t="str">
        <f>IF(AND('Mapa final'!$AB$145="Baja",'Mapa final'!$AD$145="Catastrófico"),CONCATENATE("R48C",'Mapa final'!$R$145),"")</f>
        <v/>
      </c>
      <c r="W203" s="43" t="str">
        <f>IF(AND('Mapa final'!$AB$146="Baja",'Mapa final'!$AD$146="Catastrófico"),CONCATENATE("R48C",'Mapa final'!$R$146),"")</f>
        <v/>
      </c>
      <c r="X203" s="97" t="str">
        <f>IF(AND('Mapa final'!$AB$147="Baja",'Mapa final'!$AD$147="Catastrófico"),CONCATENATE("R48C",'Mapa final'!$R$147),"")</f>
        <v/>
      </c>
      <c r="Y203" s="55"/>
      <c r="Z203" s="321"/>
      <c r="AA203" s="322"/>
      <c r="AB203" s="322"/>
      <c r="AC203" s="322"/>
      <c r="AD203" s="322"/>
      <c r="AE203" s="323"/>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c r="BI203" s="55"/>
    </row>
    <row r="204" spans="1:65" ht="15" customHeight="1" x14ac:dyDescent="0.25">
      <c r="A204" s="55"/>
      <c r="B204" s="316"/>
      <c r="C204" s="316"/>
      <c r="D204" s="317"/>
      <c r="E204" s="306"/>
      <c r="F204" s="305"/>
      <c r="G204" s="305"/>
      <c r="H204" s="305"/>
      <c r="I204" s="305"/>
      <c r="J204" s="112" t="str">
        <f>IF(AND('Mapa final'!$AB$148="Baja",'Mapa final'!$AD$148="Leve"),CONCATENATE("R49C",'Mapa final'!$R$148),"")</f>
        <v/>
      </c>
      <c r="K204" s="53" t="str">
        <f>IF(AND('Mapa final'!$AB$149="Baja",'Mapa final'!$AD$149="Leve"),CONCATENATE("R49C",'Mapa final'!$R$149),"")</f>
        <v/>
      </c>
      <c r="L204" s="113" t="str">
        <f>IF(AND('Mapa final'!$AB$150="Baja",'Mapa final'!$AD$150="Leve"),CONCATENATE("R49C",'Mapa final'!$R$150),"")</f>
        <v/>
      </c>
      <c r="M204" s="48" t="str">
        <f>IF(AND('Mapa final'!$AB$148="Baja",'Mapa final'!$AD$148="Menor"),CONCATENATE("R49C",'Mapa final'!$R$148),"")</f>
        <v/>
      </c>
      <c r="N204" s="49" t="str">
        <f>IF(AND('Mapa final'!$AB$149="Baja",'Mapa final'!$AD$149="Menor"),CONCATENATE("R49C",'Mapa final'!$R$149),"")</f>
        <v/>
      </c>
      <c r="O204" s="108" t="str">
        <f>IF(AND('Mapa final'!$AB$150="Baja",'Mapa final'!$AD$150="Menor"),CONCATENATE("R49C",'Mapa final'!$R$150),"")</f>
        <v/>
      </c>
      <c r="P204" s="48" t="str">
        <f>IF(AND('Mapa final'!$AB$148="Baja",'Mapa final'!$AD$148="Moderado"),CONCATENATE("R49C",'Mapa final'!$R$148),"")</f>
        <v/>
      </c>
      <c r="Q204" s="49" t="str">
        <f>IF(AND('Mapa final'!$AB$149="Baja",'Mapa final'!$AD$149="Moderado"),CONCATENATE("R49C",'Mapa final'!$R$149),"")</f>
        <v/>
      </c>
      <c r="R204" s="108" t="str">
        <f>IF(AND('Mapa final'!$AB$150="Baja",'Mapa final'!$AD$150="Moderado"),CONCATENATE("R49C",'Mapa final'!$R$150),"")</f>
        <v/>
      </c>
      <c r="S204" s="102" t="str">
        <f>IF(AND('Mapa final'!$AB$148="Baja",'Mapa final'!$AD$148="Mayor"),CONCATENATE("R49C",'Mapa final'!$R$148),"")</f>
        <v/>
      </c>
      <c r="T204" s="41" t="str">
        <f>IF(AND('Mapa final'!$AB$149="Baja",'Mapa final'!$AD$149="Mayor"),CONCATENATE("R49C",'Mapa final'!$R$149),"")</f>
        <v/>
      </c>
      <c r="U204" s="103" t="str">
        <f>IF(AND('Mapa final'!$AB$150="Baja",'Mapa final'!$AD$150="Mayor"),CONCATENATE("R49C",'Mapa final'!$R$150),"")</f>
        <v/>
      </c>
      <c r="V204" s="42" t="str">
        <f>IF(AND('Mapa final'!$AB$148="Baja",'Mapa final'!$AD$148="Catastrófico"),CONCATENATE("R49C",'Mapa final'!$R$148),"")</f>
        <v/>
      </c>
      <c r="W204" s="43" t="str">
        <f>IF(AND('Mapa final'!$AB$149="Baja",'Mapa final'!$AD$149="Catastrófico"),CONCATENATE("R49C",'Mapa final'!$R$149),"")</f>
        <v/>
      </c>
      <c r="X204" s="97" t="str">
        <f>IF(AND('Mapa final'!$AB$150="Baja",'Mapa final'!$AD$150="Catastrófico"),CONCATENATE("R49C",'Mapa final'!$R$150),"")</f>
        <v/>
      </c>
      <c r="Y204" s="55"/>
      <c r="Z204" s="321"/>
      <c r="AA204" s="322"/>
      <c r="AB204" s="322"/>
      <c r="AC204" s="322"/>
      <c r="AD204" s="322"/>
      <c r="AE204" s="323"/>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c r="BI204" s="55"/>
    </row>
    <row r="205" spans="1:65" ht="15" customHeight="1" thickBot="1" x14ac:dyDescent="0.3">
      <c r="A205" s="55"/>
      <c r="B205" s="316"/>
      <c r="C205" s="316"/>
      <c r="D205" s="317"/>
      <c r="E205" s="306"/>
      <c r="F205" s="305"/>
      <c r="G205" s="305"/>
      <c r="H205" s="305"/>
      <c r="I205" s="305"/>
      <c r="J205" s="114" t="str">
        <f>IF(AND('Mapa final'!$AB$151="Baja",'Mapa final'!$AD$151="Leve"),CONCATENATE("R50C",'Mapa final'!$R$151),"")</f>
        <v/>
      </c>
      <c r="K205" s="54" t="str">
        <f>IF(AND('Mapa final'!$AB$152="Baja",'Mapa final'!$AD$152="Leve"),CONCATENATE("R50C",'Mapa final'!$R$152),"")</f>
        <v/>
      </c>
      <c r="L205" s="115" t="str">
        <f>IF(AND('Mapa final'!$AB$153="Baja",'Mapa final'!$AD$153="Leve"),CONCATENATE("R50C",'Mapa final'!$R$153),"")</f>
        <v/>
      </c>
      <c r="M205" s="50" t="str">
        <f>IF(AND('Mapa final'!$AB$151="Baja",'Mapa final'!$AD$151="Menor"),CONCATENATE("R50C",'Mapa final'!$R$151),"")</f>
        <v/>
      </c>
      <c r="N205" s="51" t="str">
        <f>IF(AND('Mapa final'!$AB$152="Baja",'Mapa final'!$AD$152="Menor"),CONCATENATE("R50C",'Mapa final'!$R$152),"")</f>
        <v/>
      </c>
      <c r="O205" s="109" t="str">
        <f>IF(AND('Mapa final'!$AB$153="Baja",'Mapa final'!$AD$153="Menor"),CONCATENATE("R50C",'Mapa final'!$R$153),"")</f>
        <v/>
      </c>
      <c r="P205" s="50" t="str">
        <f>IF(AND('Mapa final'!$AB$151="Baja",'Mapa final'!$AD$151="Moderado"),CONCATENATE("R50C",'Mapa final'!$R$151),"")</f>
        <v/>
      </c>
      <c r="Q205" s="51" t="str">
        <f>IF(AND('Mapa final'!$AB$152="Baja",'Mapa final'!$AD$152="Moderado"),CONCATENATE("R50C",'Mapa final'!$R$152),"")</f>
        <v/>
      </c>
      <c r="R205" s="109" t="str">
        <f>IF(AND('Mapa final'!$AB$153="Baja",'Mapa final'!$AD$153="Moderado"),CONCATENATE("R50C",'Mapa final'!$R$153),"")</f>
        <v/>
      </c>
      <c r="S205" s="104" t="str">
        <f>IF(AND('Mapa final'!$AB$151="Baja",'Mapa final'!$AD$151="Mayor"),CONCATENATE("R50C",'Mapa final'!$R$151),"")</f>
        <v/>
      </c>
      <c r="T205" s="105" t="str">
        <f>IF(AND('Mapa final'!$AB$152="Baja",'Mapa final'!$AD$152="Mayor"),CONCATENATE("R50C",'Mapa final'!$R$152),"")</f>
        <v/>
      </c>
      <c r="U205" s="106" t="str">
        <f>IF(AND('Mapa final'!$AB$153="Baja",'Mapa final'!$AD$153="Mayor"),CONCATENATE("R50C",'Mapa final'!$R$153),"")</f>
        <v/>
      </c>
      <c r="V205" s="44" t="str">
        <f>IF(AND('Mapa final'!$AB$151="Baja",'Mapa final'!$AD$151="Catastrófico"),CONCATENATE("R50C",'Mapa final'!$R$151),"")</f>
        <v/>
      </c>
      <c r="W205" s="45" t="str">
        <f>IF(AND('Mapa final'!$AB$152="Baja",'Mapa final'!$AD$152="Catastrófico"),CONCATENATE("R50C",'Mapa final'!$R$152),"")</f>
        <v/>
      </c>
      <c r="X205" s="98" t="str">
        <f>IF(AND('Mapa final'!$AB$153="Baja",'Mapa final'!$AD$153="Catastrófico"),CONCATENATE("R50C",'Mapa final'!$R$153),"")</f>
        <v/>
      </c>
      <c r="Y205" s="55"/>
      <c r="Z205" s="321"/>
      <c r="AA205" s="322"/>
      <c r="AB205" s="322"/>
      <c r="AC205" s="322"/>
      <c r="AD205" s="322"/>
      <c r="AE205" s="323"/>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c r="BI205" s="55"/>
    </row>
    <row r="206" spans="1:65" ht="16.5" customHeight="1" x14ac:dyDescent="0.25">
      <c r="A206" s="55"/>
      <c r="B206" s="316"/>
      <c r="C206" s="316"/>
      <c r="D206" s="317"/>
      <c r="E206" s="302" t="s">
        <v>104</v>
      </c>
      <c r="F206" s="303"/>
      <c r="G206" s="303"/>
      <c r="H206" s="303"/>
      <c r="I206" s="303"/>
      <c r="J206" s="110" t="str">
        <f>IF(AND('Mapa final'!$AB$7="Muy Baja",'Mapa final'!$AD$7="Leve"),CONCATENATE("R1C",'Mapa final'!$R$7),"")</f>
        <v/>
      </c>
      <c r="K206" s="52" t="str">
        <f>IF(AND('Mapa final'!$AB$8="Muy Baja",'Mapa final'!$AD$8="Leve"),CONCATENATE("R1C",'Mapa final'!$R$8),"")</f>
        <v/>
      </c>
      <c r="L206" s="111" t="str">
        <f>IF(AND('Mapa final'!$AB$9="Muy Baja",'Mapa final'!$AD$9="Leve"),CONCATENATE("R1C",'Mapa final'!$R$9),"")</f>
        <v/>
      </c>
      <c r="M206" s="110" t="str">
        <f>IF(AND('Mapa final'!$AB$7="Muy Baja",'Mapa final'!$AD$7="Menor"),CONCATENATE("R1C",'Mapa final'!$R$7),"")</f>
        <v/>
      </c>
      <c r="N206" s="52" t="str">
        <f>IF(AND('Mapa final'!$AB$8="Muy Baja",'Mapa final'!$AD$8="Menor"),CONCATENATE("R1C",'Mapa final'!$R$8),"")</f>
        <v/>
      </c>
      <c r="O206" s="111" t="str">
        <f>IF(AND('Mapa final'!$AB$9="Muy Baja",'Mapa final'!$AD$9="Menor"),CONCATENATE("R1C",'Mapa final'!$R$9),"")</f>
        <v/>
      </c>
      <c r="P206" s="46" t="str">
        <f>IF(AND('Mapa final'!$AB$7="Muy Baja",'Mapa final'!$AD$7="Moderado"),CONCATENATE("R1C",'Mapa final'!$R$7),"")</f>
        <v/>
      </c>
      <c r="Q206" s="47" t="str">
        <f>IF(AND('Mapa final'!$AB$8="Muy Baja",'Mapa final'!$AD$8="Moderado"),CONCATENATE("R1C",'Mapa final'!$R$8),"")</f>
        <v/>
      </c>
      <c r="R206" s="107" t="str">
        <f>IF(AND('Mapa final'!$AB$9="Muy Baja",'Mapa final'!$AD$9="Moderado"),CONCATENATE("R1C",'Mapa final'!$R$9),"")</f>
        <v/>
      </c>
      <c r="S206" s="99" t="str">
        <f>IF(AND('Mapa final'!$AB$7="Muy Baja",'Mapa final'!$AD$7="Mayor"),CONCATENATE("R1C",'Mapa final'!$R$7),"")</f>
        <v/>
      </c>
      <c r="T206" s="100" t="str">
        <f>IF(AND('Mapa final'!$AB$8="Muy Baja",'Mapa final'!$AD$8="Mayor"),CONCATENATE("R1C",'Mapa final'!$R$8),"")</f>
        <v/>
      </c>
      <c r="U206" s="101" t="str">
        <f>IF(AND('Mapa final'!$AB$9="Muy Baja",'Mapa final'!$AD$9="Mayor"),CONCATENATE("R1C",'Mapa final'!$R$9),"")</f>
        <v/>
      </c>
      <c r="V206" s="39" t="str">
        <f>IF(AND('Mapa final'!$AB$7="Muy Baja",'Mapa final'!$AD$7="Catastrófico"),CONCATENATE("R1C",'Mapa final'!$R$7),"")</f>
        <v/>
      </c>
      <c r="W206" s="40" t="str">
        <f>IF(AND('Mapa final'!$AB$8="Muy Baja",'Mapa final'!$AD$8="Catastrófico"),CONCATENATE("R1C",'Mapa final'!$R$8),"")</f>
        <v/>
      </c>
      <c r="X206" s="96" t="str">
        <f>IF(AND('Mapa final'!$AB$9="Muy Baja",'Mapa final'!$AD$9="Catastrófico"),CONCATENATE("R1C",'Mapa final'!$R$9),"")</f>
        <v/>
      </c>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c r="BI206" s="55"/>
      <c r="BJ206" s="55"/>
      <c r="BK206" s="55"/>
      <c r="BL206" s="55"/>
      <c r="BM206" s="55"/>
    </row>
    <row r="207" spans="1:65" ht="15.75" x14ac:dyDescent="0.25">
      <c r="A207" s="55"/>
      <c r="B207" s="316"/>
      <c r="C207" s="316"/>
      <c r="D207" s="317"/>
      <c r="E207" s="304"/>
      <c r="F207" s="305"/>
      <c r="G207" s="305"/>
      <c r="H207" s="305"/>
      <c r="I207" s="305"/>
      <c r="J207" s="112" t="str">
        <f>IF(AND('Mapa final'!$AB$10="Muy Baja",'Mapa final'!$AD$10="Leve"),CONCATENATE("R2C",'Mapa final'!$R$10),"")</f>
        <v/>
      </c>
      <c r="K207" s="53" t="str">
        <f>IF(AND('Mapa final'!$AB$11="Muy Baja",'Mapa final'!$AD$11="Leve"),CONCATENATE("R2C",'Mapa final'!$R$11),"")</f>
        <v/>
      </c>
      <c r="L207" s="113" t="str">
        <f>IF(AND('Mapa final'!$AB$12="Muy Baja",'Mapa final'!$AD$12="Leve"),CONCATENATE("R2C",'Mapa final'!$R$12),"")</f>
        <v/>
      </c>
      <c r="M207" s="112" t="str">
        <f>IF(AND('Mapa final'!$AB$10="Muy Baja",'Mapa final'!$AD$10="Menor"),CONCATENATE("R2C",'Mapa final'!$R$10),"")</f>
        <v/>
      </c>
      <c r="N207" s="53" t="str">
        <f>IF(AND('Mapa final'!$AB$11="Muy Baja",'Mapa final'!$AD$11="Menor"),CONCATENATE("R2C",'Mapa final'!$R$11),"")</f>
        <v/>
      </c>
      <c r="O207" s="113" t="str">
        <f>IF(AND('Mapa final'!$AB$12="Muy Baja",'Mapa final'!$AD$12="Menor"),CONCATENATE("R2C",'Mapa final'!$R$12),"")</f>
        <v/>
      </c>
      <c r="P207" s="48" t="str">
        <f>IF(AND('Mapa final'!$AB$10="Muy Baja",'Mapa final'!$AD$10="Moderado"),CONCATENATE("R2C",'Mapa final'!$R$10),"")</f>
        <v/>
      </c>
      <c r="Q207" s="49" t="str">
        <f>IF(AND('Mapa final'!$AB$11="Muy Baja",'Mapa final'!$AD$11="Moderado"),CONCATENATE("R2C",'Mapa final'!$R$11),"")</f>
        <v/>
      </c>
      <c r="R207" s="108" t="str">
        <f>IF(AND('Mapa final'!$AB$12="Muy Baja",'Mapa final'!$AD$12="Moderado"),CONCATENATE("R2C",'Mapa final'!$R$12),"")</f>
        <v/>
      </c>
      <c r="S207" s="102" t="str">
        <f>IF(AND('Mapa final'!$AB$10="Muy Baja",'Mapa final'!$AD$10="Mayor"),CONCATENATE("R2C",'Mapa final'!$R$10),"")</f>
        <v/>
      </c>
      <c r="T207" s="41" t="str">
        <f>IF(AND('Mapa final'!$AB$11="Muy Baja",'Mapa final'!$AD$11="Mayor"),CONCATENATE("R2C",'Mapa final'!$R$11),"")</f>
        <v/>
      </c>
      <c r="U207" s="103" t="str">
        <f>IF(AND('Mapa final'!$AB$12="Muy Baja",'Mapa final'!$AD$12="Mayor"),CONCATENATE("R2C",'Mapa final'!$R$12),"")</f>
        <v/>
      </c>
      <c r="V207" s="42" t="str">
        <f>IF(AND('Mapa final'!$AB$10="Muy Baja",'Mapa final'!$AD$10="Catastrófico"),CONCATENATE("R2C",'Mapa final'!$R$10),"")</f>
        <v/>
      </c>
      <c r="W207" s="43" t="str">
        <f>IF(AND('Mapa final'!$AB$11="Muy Baja",'Mapa final'!$AD$11="Catastrófico"),CONCATENATE("R2C",'Mapa final'!$R$11),"")</f>
        <v/>
      </c>
      <c r="X207" s="97" t="str">
        <f>IF(AND('Mapa final'!$AB$12="Muy Baja",'Mapa final'!$AD$12="Catastrófico"),CONCATENATE("R2C",'Mapa final'!$R$12),"")</f>
        <v/>
      </c>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c r="BI207" s="55"/>
      <c r="BJ207" s="55"/>
      <c r="BK207" s="55"/>
      <c r="BL207" s="55"/>
      <c r="BM207" s="55"/>
    </row>
    <row r="208" spans="1:65" ht="15.75" x14ac:dyDescent="0.25">
      <c r="A208" s="55"/>
      <c r="B208" s="316"/>
      <c r="C208" s="316"/>
      <c r="D208" s="317"/>
      <c r="E208" s="304"/>
      <c r="F208" s="305"/>
      <c r="G208" s="305"/>
      <c r="H208" s="305"/>
      <c r="I208" s="305"/>
      <c r="J208" s="112" t="str">
        <f>IF(AND('Mapa final'!$AB$13="Muy Baja",'Mapa final'!$AD$13="Leve"),CONCATENATE("R3C",'Mapa final'!$R$13),"")</f>
        <v/>
      </c>
      <c r="K208" s="53" t="str">
        <f>IF(AND('Mapa final'!$AB$14="Muy Baja",'Mapa final'!$AD$14="Leve"),CONCATENATE("R3C",'Mapa final'!$R$14),"")</f>
        <v/>
      </c>
      <c r="L208" s="113" t="str">
        <f>IF(AND('Mapa final'!$AB$15="Muy Baja",'Mapa final'!$AD$15="Leve"),CONCATENATE("R3C",'Mapa final'!$R$15),"")</f>
        <v/>
      </c>
      <c r="M208" s="112" t="str">
        <f>IF(AND('Mapa final'!$AB$13="Muy Baja",'Mapa final'!$AD$13="Menor"),CONCATENATE("R3C",'Mapa final'!$R$13),"")</f>
        <v/>
      </c>
      <c r="N208" s="53" t="str">
        <f>IF(AND('Mapa final'!$AB$14="Muy Baja",'Mapa final'!$AD$14="Menor"),CONCATENATE("R3C",'Mapa final'!$R$14),"")</f>
        <v/>
      </c>
      <c r="O208" s="113" t="str">
        <f>IF(AND('Mapa final'!$AB$15="Muy Baja",'Mapa final'!$AD$15="Menor"),CONCATENATE("R3C",'Mapa final'!$R$15),"")</f>
        <v/>
      </c>
      <c r="P208" s="48" t="str">
        <f>IF(AND('Mapa final'!$AB$13="Muy Baja",'Mapa final'!$AD$13="Moderado"),CONCATENATE("R3C",'Mapa final'!$R$13),"")</f>
        <v/>
      </c>
      <c r="Q208" s="49" t="str">
        <f>IF(AND('Mapa final'!$AB$14="Muy Baja",'Mapa final'!$AD$14="Moderado"),CONCATENATE("R3C",'Mapa final'!$R$14),"")</f>
        <v/>
      </c>
      <c r="R208" s="108" t="str">
        <f>IF(AND('Mapa final'!$AB$15="Muy Baja",'Mapa final'!$AD$15="Moderado"),CONCATENATE("R3C",'Mapa final'!$R$15),"")</f>
        <v/>
      </c>
      <c r="S208" s="102" t="str">
        <f>IF(AND('Mapa final'!$AB$13="Muy Baja",'Mapa final'!$AD$13="Mayor"),CONCATENATE("R3C",'Mapa final'!$R$13),"")</f>
        <v/>
      </c>
      <c r="T208" s="41" t="str">
        <f>IF(AND('Mapa final'!$AB$14="Muy Baja",'Mapa final'!$AD$14="Mayor"),CONCATENATE("R3C",'Mapa final'!$R$14),"")</f>
        <v/>
      </c>
      <c r="U208" s="103" t="str">
        <f>IF(AND('Mapa final'!$AB$15="Muy Baja",'Mapa final'!$AD$15="Mayor"),CONCATENATE("R3C",'Mapa final'!$R$15),"")</f>
        <v/>
      </c>
      <c r="V208" s="42" t="str">
        <f>IF(AND('Mapa final'!$AB$13="Muy Baja",'Mapa final'!$AD$13="Catastrófico"),CONCATENATE("R3C",'Mapa final'!$R$13),"")</f>
        <v/>
      </c>
      <c r="W208" s="43" t="str">
        <f>IF(AND('Mapa final'!$AB$14="Muy Baja",'Mapa final'!$AD$14="Catastrófico"),CONCATENATE("R3C",'Mapa final'!$R$14),"")</f>
        <v/>
      </c>
      <c r="X208" s="97" t="str">
        <f>IF(AND('Mapa final'!$AB$15="Muy Baja",'Mapa final'!$AD$15="Catastrófico"),CONCATENATE("R3C",'Mapa final'!$R$15),"")</f>
        <v/>
      </c>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c r="BI208" s="55"/>
      <c r="BJ208" s="55"/>
      <c r="BK208" s="55"/>
      <c r="BL208" s="55"/>
      <c r="BM208" s="55"/>
    </row>
    <row r="209" spans="1:65" ht="15.75" x14ac:dyDescent="0.25">
      <c r="A209" s="55"/>
      <c r="B209" s="316"/>
      <c r="C209" s="316"/>
      <c r="D209" s="317"/>
      <c r="E209" s="304"/>
      <c r="F209" s="305"/>
      <c r="G209" s="305"/>
      <c r="H209" s="305"/>
      <c r="I209" s="305"/>
      <c r="J209" s="112" t="e">
        <f>IF(AND('Mapa final'!#REF!="Muy Baja",'Mapa final'!#REF!="Leve"),CONCATENATE("R4C",'Mapa final'!#REF!),"")</f>
        <v>#REF!</v>
      </c>
      <c r="K209" s="53" t="e">
        <f>IF(AND('Mapa final'!#REF!="Muy Baja",'Mapa final'!#REF!="Leve"),CONCATENATE("R4C",'Mapa final'!#REF!),"")</f>
        <v>#REF!</v>
      </c>
      <c r="L209" s="113" t="e">
        <f>IF(AND('Mapa final'!#REF!="Muy Baja",'Mapa final'!#REF!="Leve"),CONCATENATE("R4C",'Mapa final'!#REF!),"")</f>
        <v>#REF!</v>
      </c>
      <c r="M209" s="112" t="e">
        <f>IF(AND('Mapa final'!#REF!="Muy Baja",'Mapa final'!#REF!="Menor"),CONCATENATE("R4C",'Mapa final'!#REF!),"")</f>
        <v>#REF!</v>
      </c>
      <c r="N209" s="53" t="e">
        <f>IF(AND('Mapa final'!#REF!="Muy Baja",'Mapa final'!#REF!="Menor"),CONCATENATE("R4C",'Mapa final'!#REF!),"")</f>
        <v>#REF!</v>
      </c>
      <c r="O209" s="113" t="e">
        <f>IF(AND('Mapa final'!#REF!="Muy Baja",'Mapa final'!#REF!="Menor"),CONCATENATE("R4C",'Mapa final'!#REF!),"")</f>
        <v>#REF!</v>
      </c>
      <c r="P209" s="48" t="e">
        <f>IF(AND('Mapa final'!#REF!="Muy Baja",'Mapa final'!#REF!="Moderado"),CONCATENATE("R4C",'Mapa final'!#REF!),"")</f>
        <v>#REF!</v>
      </c>
      <c r="Q209" s="49" t="e">
        <f>IF(AND('Mapa final'!#REF!="Muy Baja",'Mapa final'!#REF!="Moderado"),CONCATENATE("R4C",'Mapa final'!#REF!),"")</f>
        <v>#REF!</v>
      </c>
      <c r="R209" s="108" t="e">
        <f>IF(AND('Mapa final'!#REF!="Muy Baja",'Mapa final'!#REF!="Moderado"),CONCATENATE("R4C",'Mapa final'!#REF!),"")</f>
        <v>#REF!</v>
      </c>
      <c r="S209" s="102" t="e">
        <f>IF(AND('Mapa final'!#REF!="Muy Baja",'Mapa final'!#REF!="Mayor"),CONCATENATE("R4C",'Mapa final'!#REF!),"")</f>
        <v>#REF!</v>
      </c>
      <c r="T209" s="41" t="e">
        <f>IF(AND('Mapa final'!#REF!="Muy Baja",'Mapa final'!#REF!="Mayor"),CONCATENATE("R4C",'Mapa final'!#REF!),"")</f>
        <v>#REF!</v>
      </c>
      <c r="U209" s="103" t="e">
        <f>IF(AND('Mapa final'!#REF!="Muy Baja",'Mapa final'!#REF!="Mayor"),CONCATENATE("R4C",'Mapa final'!#REF!),"")</f>
        <v>#REF!</v>
      </c>
      <c r="V209" s="42" t="e">
        <f>IF(AND('Mapa final'!#REF!="Muy Baja",'Mapa final'!#REF!="Catastrófico"),CONCATENATE("R4C",'Mapa final'!#REF!),"")</f>
        <v>#REF!</v>
      </c>
      <c r="W209" s="43" t="e">
        <f>IF(AND('Mapa final'!#REF!="Muy Baja",'Mapa final'!#REF!="Catastrófico"),CONCATENATE("R4C",'Mapa final'!#REF!),"")</f>
        <v>#REF!</v>
      </c>
      <c r="X209" s="97" t="e">
        <f>IF(AND('Mapa final'!#REF!="Muy Baja",'Mapa final'!#REF!="Catastrófico"),CONCATENATE("R4C",'Mapa final'!#REF!),"")</f>
        <v>#REF!</v>
      </c>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c r="BI209" s="55"/>
      <c r="BJ209" s="55"/>
      <c r="BK209" s="55"/>
      <c r="BL209" s="55"/>
      <c r="BM209" s="55"/>
    </row>
    <row r="210" spans="1:65" ht="15.75" x14ac:dyDescent="0.25">
      <c r="A210" s="55"/>
      <c r="B210" s="316"/>
      <c r="C210" s="316"/>
      <c r="D210" s="317"/>
      <c r="E210" s="304"/>
      <c r="F210" s="305"/>
      <c r="G210" s="305"/>
      <c r="H210" s="305"/>
      <c r="I210" s="305"/>
      <c r="J210" s="112" t="str">
        <f>IF(AND('Mapa final'!$AB$16="Muy Baja",'Mapa final'!$AD$16="Leve"),CONCATENATE("R5C",'Mapa final'!$R$16),"")</f>
        <v/>
      </c>
      <c r="K210" s="53" t="str">
        <f>IF(AND('Mapa final'!$AB$17="Muy Baja",'Mapa final'!$AD$17="Leve"),CONCATENATE("R5C",'Mapa final'!$R$17),"")</f>
        <v/>
      </c>
      <c r="L210" s="113" t="str">
        <f>IF(AND('Mapa final'!$AB$18="Muy Baja",'Mapa final'!$AD$18="Leve"),CONCATENATE("R5C",'Mapa final'!$R$18),"")</f>
        <v/>
      </c>
      <c r="M210" s="112" t="str">
        <f>IF(AND('Mapa final'!$AB$16="Muy Baja",'Mapa final'!$AD$16="Menor"),CONCATENATE("R5C",'Mapa final'!$R$16),"")</f>
        <v/>
      </c>
      <c r="N210" s="53" t="str">
        <f>IF(AND('Mapa final'!$AB$17="Muy Baja",'Mapa final'!$AD$17="Menor"),CONCATENATE("R5C",'Mapa final'!$R$17),"")</f>
        <v/>
      </c>
      <c r="O210" s="113" t="str">
        <f>IF(AND('Mapa final'!$AB$18="Muy Baja",'Mapa final'!$AD$18="Menor"),CONCATENATE("R5C",'Mapa final'!$R$18),"")</f>
        <v/>
      </c>
      <c r="P210" s="48" t="str">
        <f>IF(AND('Mapa final'!$AB$16="Muy Baja",'Mapa final'!$AD$16="Moderado"),CONCATENATE("R5C",'Mapa final'!$R$16),"")</f>
        <v/>
      </c>
      <c r="Q210" s="49" t="str">
        <f>IF(AND('Mapa final'!$AB$17="Muy Baja",'Mapa final'!$AD$17="Moderado"),CONCATENATE("R5C",'Mapa final'!$R$17),"")</f>
        <v/>
      </c>
      <c r="R210" s="108" t="str">
        <f>IF(AND('Mapa final'!$AB$18="Muy Baja",'Mapa final'!$AD$18="Moderado"),CONCATENATE("R5C",'Mapa final'!$R$18),"")</f>
        <v/>
      </c>
      <c r="S210" s="102" t="str">
        <f>IF(AND('Mapa final'!$AB$16="Muy Baja",'Mapa final'!$AD$16="Mayor"),CONCATENATE("R5C",'Mapa final'!$R$16),"")</f>
        <v/>
      </c>
      <c r="T210" s="41" t="str">
        <f>IF(AND('Mapa final'!$AB$17="Muy Baja",'Mapa final'!$AD$17="Mayor"),CONCATENATE("R5C",'Mapa final'!$R$17),"")</f>
        <v/>
      </c>
      <c r="U210" s="103" t="str">
        <f>IF(AND('Mapa final'!$AB$18="Muy Baja",'Mapa final'!$AD$18="Mayor"),CONCATENATE("R5C",'Mapa final'!$R$18),"")</f>
        <v/>
      </c>
      <c r="V210" s="42" t="str">
        <f>IF(AND('Mapa final'!$AB$16="Muy Baja",'Mapa final'!$AD$16="Catastrófico"),CONCATENATE("R5C",'Mapa final'!$R$16),"")</f>
        <v/>
      </c>
      <c r="W210" s="43" t="str">
        <f>IF(AND('Mapa final'!$AB$17="Muy Baja",'Mapa final'!$AD$17="Catastrófico"),CONCATENATE("R5C",'Mapa final'!$R$17),"")</f>
        <v/>
      </c>
      <c r="X210" s="97" t="str">
        <f>IF(AND('Mapa final'!$AB$18="Muy Baja",'Mapa final'!$AD$18="Catastrófico"),CONCATENATE("R5C",'Mapa final'!$R$18),"")</f>
        <v/>
      </c>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c r="BI210" s="55"/>
      <c r="BJ210" s="55"/>
      <c r="BK210" s="55"/>
      <c r="BL210" s="55"/>
      <c r="BM210" s="55"/>
    </row>
    <row r="211" spans="1:65" ht="15.75" x14ac:dyDescent="0.25">
      <c r="A211" s="55"/>
      <c r="B211" s="316"/>
      <c r="C211" s="316"/>
      <c r="D211" s="317"/>
      <c r="E211" s="304"/>
      <c r="F211" s="305"/>
      <c r="G211" s="305"/>
      <c r="H211" s="305"/>
      <c r="I211" s="305"/>
      <c r="J211" s="112" t="str">
        <f>IF(AND('Mapa final'!$AB$19="Muy Baja",'Mapa final'!$AD$19="Leve"),CONCATENATE("R6C",'Mapa final'!$R$19),"")</f>
        <v/>
      </c>
      <c r="K211" s="53" t="str">
        <f>IF(AND('Mapa final'!$AB$20="Muy Baja",'Mapa final'!$AD$20="Leve"),CONCATENATE("R6C",'Mapa final'!$R$20),"")</f>
        <v/>
      </c>
      <c r="L211" s="113" t="str">
        <f>IF(AND('Mapa final'!$AB$21="Muy Baja",'Mapa final'!$AD$21="Leve"),CONCATENATE("R6C",'Mapa final'!$R$21),"")</f>
        <v/>
      </c>
      <c r="M211" s="112" t="str">
        <f>IF(AND('Mapa final'!$AB$19="Muy Baja",'Mapa final'!$AD$19="Menor"),CONCATENATE("R6C",'Mapa final'!$R$19),"")</f>
        <v/>
      </c>
      <c r="N211" s="53" t="str">
        <f>IF(AND('Mapa final'!$AB$20="Muy Baja",'Mapa final'!$AD$20="Menor"),CONCATENATE("R6C",'Mapa final'!$R$20),"")</f>
        <v/>
      </c>
      <c r="O211" s="113" t="str">
        <f>IF(AND('Mapa final'!$AB$21="Muy Baja",'Mapa final'!$AD$21="Menor"),CONCATENATE("R6C",'Mapa final'!$R$21),"")</f>
        <v/>
      </c>
      <c r="P211" s="48" t="str">
        <f>IF(AND('Mapa final'!$AB$19="Muy Baja",'Mapa final'!$AD$19="Moderado"),CONCATENATE("R6C",'Mapa final'!$R$19),"")</f>
        <v>R6C1</v>
      </c>
      <c r="Q211" s="49" t="str">
        <f>IF(AND('Mapa final'!$AB$20="Muy Baja",'Mapa final'!$AD$20="Moderado"),CONCATENATE("R6C",'Mapa final'!$R$20),"")</f>
        <v/>
      </c>
      <c r="R211" s="108" t="str">
        <f>IF(AND('Mapa final'!$AB$21="Muy Baja",'Mapa final'!$AD$21="Moderado"),CONCATENATE("R6C",'Mapa final'!$R$21),"")</f>
        <v/>
      </c>
      <c r="S211" s="102" t="str">
        <f>IF(AND('Mapa final'!$AB$19="Muy Baja",'Mapa final'!$AD$19="Mayor"),CONCATENATE("R6C",'Mapa final'!$R$19),"")</f>
        <v/>
      </c>
      <c r="T211" s="41" t="str">
        <f>IF(AND('Mapa final'!$AB$20="Muy Baja",'Mapa final'!$AD$20="Mayor"),CONCATENATE("R6C",'Mapa final'!$R$20),"")</f>
        <v/>
      </c>
      <c r="U211" s="103" t="str">
        <f>IF(AND('Mapa final'!$AB$21="Muy Baja",'Mapa final'!$AD$21="Mayor"),CONCATENATE("R6C",'Mapa final'!$R$21),"")</f>
        <v/>
      </c>
      <c r="V211" s="42" t="str">
        <f>IF(AND('Mapa final'!$AB$19="Muy Baja",'Mapa final'!$AD$19="Catastrófico"),CONCATENATE("R6C",'Mapa final'!$R$19),"")</f>
        <v/>
      </c>
      <c r="W211" s="43" t="str">
        <f>IF(AND('Mapa final'!$AB$20="Muy Baja",'Mapa final'!$AD$20="Catastrófico"),CONCATENATE("R6C",'Mapa final'!$R$20),"")</f>
        <v/>
      </c>
      <c r="X211" s="97" t="str">
        <f>IF(AND('Mapa final'!$AB$21="Muy Baja",'Mapa final'!$AD$21="Catastrófico"),CONCATENATE("R6C",'Mapa final'!$R$21),"")</f>
        <v/>
      </c>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c r="BI211" s="55"/>
      <c r="BJ211" s="55"/>
      <c r="BK211" s="55"/>
      <c r="BL211" s="55"/>
      <c r="BM211" s="55"/>
    </row>
    <row r="212" spans="1:65" ht="15.75" x14ac:dyDescent="0.25">
      <c r="A212" s="55"/>
      <c r="B212" s="316"/>
      <c r="C212" s="316"/>
      <c r="D212" s="317"/>
      <c r="E212" s="304"/>
      <c r="F212" s="305"/>
      <c r="G212" s="305"/>
      <c r="H212" s="305"/>
      <c r="I212" s="305"/>
      <c r="J212" s="112" t="str">
        <f>IF(AND('Mapa final'!$AB$22="Muy Baja",'Mapa final'!$AD$22="Leve"),CONCATENATE("R7C",'Mapa final'!$R$22),"")</f>
        <v/>
      </c>
      <c r="K212" s="53" t="str">
        <f>IF(AND('Mapa final'!$AB$23="Muy Baja",'Mapa final'!$AD$23="Leve"),CONCATENATE("R7C",'Mapa final'!$R$23),"")</f>
        <v/>
      </c>
      <c r="L212" s="113" t="str">
        <f>IF(AND('Mapa final'!$AB$24="Muy Baja",'Mapa final'!$AD$24="Leve"),CONCATENATE("R7C",'Mapa final'!$R$24),"")</f>
        <v/>
      </c>
      <c r="M212" s="112" t="str">
        <f>IF(AND('Mapa final'!$AB$22="Muy Baja",'Mapa final'!$AD$22="Menor"),CONCATENATE("R7C",'Mapa final'!$R$22),"")</f>
        <v/>
      </c>
      <c r="N212" s="53" t="str">
        <f>IF(AND('Mapa final'!$AB$23="Muy Baja",'Mapa final'!$AD$23="Menor"),CONCATENATE("R7C",'Mapa final'!$R$23),"")</f>
        <v/>
      </c>
      <c r="O212" s="113" t="str">
        <f>IF(AND('Mapa final'!$AB$24="Muy Baja",'Mapa final'!$AD$24="Menor"),CONCATENATE("R7C",'Mapa final'!$R$24),"")</f>
        <v/>
      </c>
      <c r="P212" s="48" t="str">
        <f>IF(AND('Mapa final'!$AB$22="Muy Baja",'Mapa final'!$AD$22="Moderado"),CONCATENATE("R7C",'Mapa final'!$R$22),"")</f>
        <v>R7C1</v>
      </c>
      <c r="Q212" s="49" t="str">
        <f>IF(AND('Mapa final'!$AB$23="Muy Baja",'Mapa final'!$AD$23="Moderado"),CONCATENATE("R7C",'Mapa final'!$R$23),"")</f>
        <v/>
      </c>
      <c r="R212" s="108" t="str">
        <f>IF(AND('Mapa final'!$AB$24="Muy Baja",'Mapa final'!$AD$24="Moderado"),CONCATENATE("R7C",'Mapa final'!$R$24),"")</f>
        <v/>
      </c>
      <c r="S212" s="102" t="str">
        <f>IF(AND('Mapa final'!$AB$22="Muy Baja",'Mapa final'!$AD$22="Mayor"),CONCATENATE("R7C",'Mapa final'!$R$22),"")</f>
        <v/>
      </c>
      <c r="T212" s="41" t="str">
        <f>IF(AND('Mapa final'!$AB$23="Muy Baja",'Mapa final'!$AD$23="Mayor"),CONCATENATE("R7C",'Mapa final'!$R$23),"")</f>
        <v/>
      </c>
      <c r="U212" s="103" t="str">
        <f>IF(AND('Mapa final'!$AB$24="Muy Baja",'Mapa final'!$AD$24="Mayor"),CONCATENATE("R7C",'Mapa final'!$R$24),"")</f>
        <v/>
      </c>
      <c r="V212" s="42" t="str">
        <f>IF(AND('Mapa final'!$AB$22="Muy Baja",'Mapa final'!$AD$22="Catastrófico"),CONCATENATE("R7C",'Mapa final'!$R$22),"")</f>
        <v/>
      </c>
      <c r="W212" s="43" t="str">
        <f>IF(AND('Mapa final'!$AB$23="Muy Baja",'Mapa final'!$AD$23="Catastrófico"),CONCATENATE("R7C",'Mapa final'!$R$23),"")</f>
        <v/>
      </c>
      <c r="X212" s="97" t="str">
        <f>IF(AND('Mapa final'!$AB$24="Muy Baja",'Mapa final'!$AD$24="Catastrófico"),CONCATENATE("R7C",'Mapa final'!$R$24),"")</f>
        <v/>
      </c>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c r="BI212" s="55"/>
      <c r="BJ212" s="55"/>
      <c r="BK212" s="55"/>
      <c r="BL212" s="55"/>
      <c r="BM212" s="55"/>
    </row>
    <row r="213" spans="1:65" ht="15.75" x14ac:dyDescent="0.25">
      <c r="A213" s="55"/>
      <c r="B213" s="316"/>
      <c r="C213" s="316"/>
      <c r="D213" s="317"/>
      <c r="E213" s="304"/>
      <c r="F213" s="305"/>
      <c r="G213" s="305"/>
      <c r="H213" s="305"/>
      <c r="I213" s="305"/>
      <c r="J213" s="112" t="str">
        <f>IF(AND('Mapa final'!$AB$25="Muy Baja",'Mapa final'!$AD$25="Leve"),CONCATENATE("R8C",'Mapa final'!$R$25),"")</f>
        <v/>
      </c>
      <c r="K213" s="53" t="str">
        <f>IF(AND('Mapa final'!$AB$26="Muy Baja",'Mapa final'!$AD$26="Leve"),CONCATENATE("R8C",'Mapa final'!$R$26),"")</f>
        <v/>
      </c>
      <c r="L213" s="113" t="str">
        <f>IF(AND('Mapa final'!$AB$27="Muy Baja",'Mapa final'!$AD$27="Leve"),CONCATENATE("R8C",'Mapa final'!$R$27),"")</f>
        <v/>
      </c>
      <c r="M213" s="112" t="str">
        <f>IF(AND('Mapa final'!$AB$25="Muy Baja",'Mapa final'!$AD$25="Menor"),CONCATENATE("R8C",'Mapa final'!$R$25),"")</f>
        <v/>
      </c>
      <c r="N213" s="53" t="str">
        <f>IF(AND('Mapa final'!$AB$26="Muy Baja",'Mapa final'!$AD$26="Menor"),CONCATENATE("R8C",'Mapa final'!$R$26),"")</f>
        <v/>
      </c>
      <c r="O213" s="113" t="str">
        <f>IF(AND('Mapa final'!$AB$27="Muy Baja",'Mapa final'!$AD$27="Menor"),CONCATENATE("R8C",'Mapa final'!$R$27),"")</f>
        <v/>
      </c>
      <c r="P213" s="48" t="str">
        <f>IF(AND('Mapa final'!$AB$25="Muy Baja",'Mapa final'!$AD$25="Moderado"),CONCATENATE("R8C",'Mapa final'!$R$25),"")</f>
        <v/>
      </c>
      <c r="Q213" s="49" t="str">
        <f>IF(AND('Mapa final'!$AB$26="Muy Baja",'Mapa final'!$AD$26="Moderado"),CONCATENATE("R8C",'Mapa final'!$R$26),"")</f>
        <v/>
      </c>
      <c r="R213" s="108" t="str">
        <f>IF(AND('Mapa final'!$AB$27="Muy Baja",'Mapa final'!$AD$27="Moderado"),CONCATENATE("R8C",'Mapa final'!$R$27),"")</f>
        <v/>
      </c>
      <c r="S213" s="102" t="str">
        <f>IF(AND('Mapa final'!$AB$25="Muy Baja",'Mapa final'!$AD$25="Mayor"),CONCATENATE("R8C",'Mapa final'!$R$25),"")</f>
        <v/>
      </c>
      <c r="T213" s="41" t="str">
        <f>IF(AND('Mapa final'!$AB$26="Muy Baja",'Mapa final'!$AD$26="Mayor"),CONCATENATE("R8C",'Mapa final'!$R$26),"")</f>
        <v/>
      </c>
      <c r="U213" s="103" t="str">
        <f>IF(AND('Mapa final'!$AB$27="Muy Baja",'Mapa final'!$AD$27="Mayor"),CONCATENATE("R8C",'Mapa final'!$R$27),"")</f>
        <v/>
      </c>
      <c r="V213" s="42" t="str">
        <f>IF(AND('Mapa final'!$AB$25="Muy Baja",'Mapa final'!$AD$25="Catastrófico"),CONCATENATE("R8C",'Mapa final'!$R$25),"")</f>
        <v/>
      </c>
      <c r="W213" s="43" t="str">
        <f>IF(AND('Mapa final'!$AB$26="Muy Baja",'Mapa final'!$AD$26="Catastrófico"),CONCATENATE("R8C",'Mapa final'!$R$26),"")</f>
        <v/>
      </c>
      <c r="X213" s="97" t="str">
        <f>IF(AND('Mapa final'!$AB$27="Muy Baja",'Mapa final'!$AD$27="Catastrófico"),CONCATENATE("R8C",'Mapa final'!$R$27),"")</f>
        <v/>
      </c>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c r="BI213" s="55"/>
      <c r="BJ213" s="55"/>
      <c r="BK213" s="55"/>
      <c r="BL213" s="55"/>
      <c r="BM213" s="55"/>
    </row>
    <row r="214" spans="1:65" ht="15.75" x14ac:dyDescent="0.25">
      <c r="A214" s="55"/>
      <c r="B214" s="316"/>
      <c r="C214" s="316"/>
      <c r="D214" s="317"/>
      <c r="E214" s="304"/>
      <c r="F214" s="305"/>
      <c r="G214" s="305"/>
      <c r="H214" s="305"/>
      <c r="I214" s="305"/>
      <c r="J214" s="112" t="str">
        <f>IF(AND('Mapa final'!$AB$28="Muy Baja",'Mapa final'!$AD$28="Leve"),CONCATENATE("R9C",'Mapa final'!$R$28),"")</f>
        <v/>
      </c>
      <c r="K214" s="53" t="str">
        <f>IF(AND('Mapa final'!$AB$29="Muy Baja",'Mapa final'!$AD$29="Leve"),CONCATENATE("R9C",'Mapa final'!$R$29),"")</f>
        <v/>
      </c>
      <c r="L214" s="113" t="str">
        <f>IF(AND('Mapa final'!$AB$30="Muy Baja",'Mapa final'!$AD$30="Leve"),CONCATENATE("R9C",'Mapa final'!$R$30),"")</f>
        <v/>
      </c>
      <c r="M214" s="112" t="str">
        <f>IF(AND('Mapa final'!$AB$28="Muy Baja",'Mapa final'!$AD$28="Menor"),CONCATENATE("R9C",'Mapa final'!$R$28),"")</f>
        <v/>
      </c>
      <c r="N214" s="53" t="str">
        <f>IF(AND('Mapa final'!$AB$29="Muy Baja",'Mapa final'!$AD$29="Menor"),CONCATENATE("R9C",'Mapa final'!$R$29),"")</f>
        <v/>
      </c>
      <c r="O214" s="113" t="str">
        <f>IF(AND('Mapa final'!$AB$30="Muy Baja",'Mapa final'!$AD$30="Menor"),CONCATENATE("R9C",'Mapa final'!$R$30),"")</f>
        <v/>
      </c>
      <c r="P214" s="48" t="str">
        <f>IF(AND('Mapa final'!$AB$28="Muy Baja",'Mapa final'!$AD$28="Moderado"),CONCATENATE("R9C",'Mapa final'!$R$28),"")</f>
        <v/>
      </c>
      <c r="Q214" s="49" t="str">
        <f>IF(AND('Mapa final'!$AB$29="Muy Baja",'Mapa final'!$AD$29="Moderado"),CONCATENATE("R9C",'Mapa final'!$R$29),"")</f>
        <v/>
      </c>
      <c r="R214" s="108" t="str">
        <f>IF(AND('Mapa final'!$AB$30="Muy Baja",'Mapa final'!$AD$30="Moderado"),CONCATENATE("R9C",'Mapa final'!$R$30),"")</f>
        <v/>
      </c>
      <c r="S214" s="102" t="str">
        <f>IF(AND('Mapa final'!$AB$28="Muy Baja",'Mapa final'!$AD$28="Mayor"),CONCATENATE("R9C",'Mapa final'!$R$28),"")</f>
        <v/>
      </c>
      <c r="T214" s="41" t="str">
        <f>IF(AND('Mapa final'!$AB$29="Muy Baja",'Mapa final'!$AD$29="Mayor"),CONCATENATE("R9C",'Mapa final'!$R$29),"")</f>
        <v/>
      </c>
      <c r="U214" s="103" t="str">
        <f>IF(AND('Mapa final'!$AB$30="Muy Baja",'Mapa final'!$AD$30="Mayor"),CONCATENATE("R9C",'Mapa final'!$R$30),"")</f>
        <v/>
      </c>
      <c r="V214" s="42" t="str">
        <f>IF(AND('Mapa final'!$AB$28="Muy Baja",'Mapa final'!$AD$28="Catastrófico"),CONCATENATE("R9C",'Mapa final'!$R$28),"")</f>
        <v/>
      </c>
      <c r="W214" s="43" t="str">
        <f>IF(AND('Mapa final'!$AB$29="Muy Baja",'Mapa final'!$AD$29="Catastrófico"),CONCATENATE("R9C",'Mapa final'!$R$29),"")</f>
        <v/>
      </c>
      <c r="X214" s="97" t="str">
        <f>IF(AND('Mapa final'!$AB$30="Muy Baja",'Mapa final'!$AD$30="Catastrófico"),CONCATENATE("R9C",'Mapa final'!$R$30),"")</f>
        <v/>
      </c>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c r="BI214" s="55"/>
      <c r="BJ214" s="55"/>
      <c r="BK214" s="55"/>
      <c r="BL214" s="55"/>
      <c r="BM214" s="55"/>
    </row>
    <row r="215" spans="1:65" ht="15.75" x14ac:dyDescent="0.25">
      <c r="A215" s="55"/>
      <c r="B215" s="316"/>
      <c r="C215" s="316"/>
      <c r="D215" s="317"/>
      <c r="E215" s="304"/>
      <c r="F215" s="305"/>
      <c r="G215" s="305"/>
      <c r="H215" s="305"/>
      <c r="I215" s="305"/>
      <c r="J215" s="112" t="str">
        <f>IF(AND('Mapa final'!$AB$31="Muy Baja",'Mapa final'!$AD$31="Leve"),CONCATENATE("R10C",'Mapa final'!$R$31),"")</f>
        <v/>
      </c>
      <c r="K215" s="53" t="str">
        <f>IF(AND('Mapa final'!$AB$32="Muy Baja",'Mapa final'!$AD$32="Leve"),CONCATENATE("R10C",'Mapa final'!$R$32),"")</f>
        <v/>
      </c>
      <c r="L215" s="113" t="str">
        <f>IF(AND('Mapa final'!$AB$33="Muy Baja",'Mapa final'!$AD$33="Leve"),CONCATENATE("R10C",'Mapa final'!$R$33),"")</f>
        <v/>
      </c>
      <c r="M215" s="112" t="str">
        <f>IF(AND('Mapa final'!$AB$31="Muy Baja",'Mapa final'!$AD$31="Menor"),CONCATENATE("R10C",'Mapa final'!$R$31),"")</f>
        <v/>
      </c>
      <c r="N215" s="53" t="str">
        <f>IF(AND('Mapa final'!$AB$32="Muy Baja",'Mapa final'!$AD$32="Menor"),CONCATENATE("R10C",'Mapa final'!$R$32),"")</f>
        <v/>
      </c>
      <c r="O215" s="113" t="str">
        <f>IF(AND('Mapa final'!$AB$33="Muy Baja",'Mapa final'!$AD$33="Menor"),CONCATENATE("R10C",'Mapa final'!$R$33),"")</f>
        <v/>
      </c>
      <c r="P215" s="48" t="str">
        <f>IF(AND('Mapa final'!$AB$31="Muy Baja",'Mapa final'!$AD$31="Moderado"),CONCATENATE("R10C",'Mapa final'!$R$31),"")</f>
        <v/>
      </c>
      <c r="Q215" s="49" t="str">
        <f>IF(AND('Mapa final'!$AB$32="Muy Baja",'Mapa final'!$AD$32="Moderado"),CONCATENATE("R10C",'Mapa final'!$R$32),"")</f>
        <v/>
      </c>
      <c r="R215" s="108" t="str">
        <f>IF(AND('Mapa final'!$AB$33="Muy Baja",'Mapa final'!$AD$33="Moderado"),CONCATENATE("R10C",'Mapa final'!$R$33),"")</f>
        <v/>
      </c>
      <c r="S215" s="102" t="str">
        <f>IF(AND('Mapa final'!$AB$31="Muy Baja",'Mapa final'!$AD$31="Mayor"),CONCATENATE("R10C",'Mapa final'!$R$31),"")</f>
        <v/>
      </c>
      <c r="T215" s="41" t="str">
        <f>IF(AND('Mapa final'!$AB$32="Muy Baja",'Mapa final'!$AD$32="Mayor"),CONCATENATE("R10C",'Mapa final'!$R$32),"")</f>
        <v/>
      </c>
      <c r="U215" s="103" t="str">
        <f>IF(AND('Mapa final'!$AB$33="Muy Baja",'Mapa final'!$AD$33="Mayor"),CONCATENATE("R10C",'Mapa final'!$R$33),"")</f>
        <v/>
      </c>
      <c r="V215" s="42" t="str">
        <f>IF(AND('Mapa final'!$AB$31="Muy Baja",'Mapa final'!$AD$31="Catastrófico"),CONCATENATE("R10C",'Mapa final'!$R$31),"")</f>
        <v/>
      </c>
      <c r="W215" s="43" t="str">
        <f>IF(AND('Mapa final'!$AB$32="Muy Baja",'Mapa final'!$AD$32="Catastrófico"),CONCATENATE("R10C",'Mapa final'!$R$32),"")</f>
        <v/>
      </c>
      <c r="X215" s="97" t="str">
        <f>IF(AND('Mapa final'!$AB$33="Muy Baja",'Mapa final'!$AD$33="Catastrófico"),CONCATENATE("R10C",'Mapa final'!$R$33),"")</f>
        <v/>
      </c>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c r="BI215" s="55"/>
      <c r="BJ215" s="55"/>
      <c r="BK215" s="55"/>
      <c r="BL215" s="55"/>
      <c r="BM215" s="55"/>
    </row>
    <row r="216" spans="1:65" ht="15.75" x14ac:dyDescent="0.25">
      <c r="A216" s="55"/>
      <c r="B216" s="316"/>
      <c r="C216" s="316"/>
      <c r="D216" s="317"/>
      <c r="E216" s="304"/>
      <c r="F216" s="305"/>
      <c r="G216" s="305"/>
      <c r="H216" s="305"/>
      <c r="I216" s="305"/>
      <c r="J216" s="112" t="str">
        <f>IF(AND('Mapa final'!$AB$34="Muy Baja",'Mapa final'!$AD$34="Leve"),CONCATENATE("R11C",'Mapa final'!$R$34),"")</f>
        <v/>
      </c>
      <c r="K216" s="53" t="str">
        <f>IF(AND('Mapa final'!$AB$35="Muy Baja",'Mapa final'!$AD$35="Leve"),CONCATENATE("R11C",'Mapa final'!$R$35),"")</f>
        <v/>
      </c>
      <c r="L216" s="113" t="str">
        <f>IF(AND('Mapa final'!$AB$36="Muy Baja",'Mapa final'!$AD$36="Leve"),CONCATENATE("R11C",'Mapa final'!$R$36),"")</f>
        <v/>
      </c>
      <c r="M216" s="112" t="str">
        <f>IF(AND('Mapa final'!$AB$34="Muy Baja",'Mapa final'!$AD$34="Menor"),CONCATENATE("R11C",'Mapa final'!$R$34),"")</f>
        <v/>
      </c>
      <c r="N216" s="53" t="str">
        <f>IF(AND('Mapa final'!$AB$35="Muy Baja",'Mapa final'!$AD$35="Menor"),CONCATENATE("R11C",'Mapa final'!$R$35),"")</f>
        <v/>
      </c>
      <c r="O216" s="113" t="str">
        <f>IF(AND('Mapa final'!$AB$36="Muy Baja",'Mapa final'!$AD$36="Menor"),CONCATENATE("R11C",'Mapa final'!$R$36),"")</f>
        <v/>
      </c>
      <c r="P216" s="48" t="str">
        <f>IF(AND('Mapa final'!$AB$34="Muy Baja",'Mapa final'!$AD$34="Moderado"),CONCATENATE("R11C",'Mapa final'!$R$34),"")</f>
        <v/>
      </c>
      <c r="Q216" s="49" t="str">
        <f>IF(AND('Mapa final'!$AB$35="Muy Baja",'Mapa final'!$AD$35="Moderado"),CONCATENATE("R11C",'Mapa final'!$R$35),"")</f>
        <v/>
      </c>
      <c r="R216" s="108" t="str">
        <f>IF(AND('Mapa final'!$AB$36="Muy Baja",'Mapa final'!$AD$36="Moderado"),CONCATENATE("R11C",'Mapa final'!$R$36),"")</f>
        <v/>
      </c>
      <c r="S216" s="102" t="str">
        <f>IF(AND('Mapa final'!$AB$34="Muy Baja",'Mapa final'!$AD$34="Mayor"),CONCATENATE("R11C",'Mapa final'!$R$34),"")</f>
        <v/>
      </c>
      <c r="T216" s="41" t="str">
        <f>IF(AND('Mapa final'!$AB$35="Muy Baja",'Mapa final'!$AD$35="Mayor"),CONCATENATE("R11C",'Mapa final'!$R$35),"")</f>
        <v/>
      </c>
      <c r="U216" s="103" t="str">
        <f>IF(AND('Mapa final'!$AB$36="Muy Baja",'Mapa final'!$AD$36="Mayor"),CONCATENATE("R11C",'Mapa final'!$R$36),"")</f>
        <v/>
      </c>
      <c r="V216" s="42" t="str">
        <f>IF(AND('Mapa final'!$AB$34="Muy Baja",'Mapa final'!$AD$34="Catastrófico"),CONCATENATE("R11C",'Mapa final'!$R$34),"")</f>
        <v/>
      </c>
      <c r="W216" s="43" t="str">
        <f>IF(AND('Mapa final'!$AB$35="Muy Baja",'Mapa final'!$AD$35="Catastrófico"),CONCATENATE("R11C",'Mapa final'!$R$35),"")</f>
        <v/>
      </c>
      <c r="X216" s="97" t="str">
        <f>IF(AND('Mapa final'!$AB$36="Muy Baja",'Mapa final'!$AD$36="Catastrófico"),CONCATENATE("R11C",'Mapa final'!$R$36),"")</f>
        <v/>
      </c>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c r="BI216" s="55"/>
      <c r="BJ216" s="55"/>
      <c r="BK216" s="55"/>
      <c r="BL216" s="55"/>
      <c r="BM216" s="55"/>
    </row>
    <row r="217" spans="1:65" ht="15.75" x14ac:dyDescent="0.25">
      <c r="A217" s="55"/>
      <c r="B217" s="316"/>
      <c r="C217" s="316"/>
      <c r="D217" s="317"/>
      <c r="E217" s="304"/>
      <c r="F217" s="305"/>
      <c r="G217" s="305"/>
      <c r="H217" s="305"/>
      <c r="I217" s="305"/>
      <c r="J217" s="112" t="str">
        <f>IF(AND('Mapa final'!$AB$37="Muy Baja",'Mapa final'!$AD$37="Leve"),CONCATENATE("R12C",'Mapa final'!$R$37),"")</f>
        <v/>
      </c>
      <c r="K217" s="53" t="str">
        <f>IF(AND('Mapa final'!$AB$38="Muy Baja",'Mapa final'!$AD$38="Leve"),CONCATENATE("R12C",'Mapa final'!$R$38),"")</f>
        <v/>
      </c>
      <c r="L217" s="113" t="str">
        <f>IF(AND('Mapa final'!$AB$39="Muy Baja",'Mapa final'!$AD$39="Leve"),CONCATENATE("R12C",'Mapa final'!$R$39),"")</f>
        <v/>
      </c>
      <c r="M217" s="112" t="str">
        <f>IF(AND('Mapa final'!$AB$37="Muy Baja",'Mapa final'!$AD$37="Menor"),CONCATENATE("R12C",'Mapa final'!$R$37),"")</f>
        <v/>
      </c>
      <c r="N217" s="53" t="str">
        <f>IF(AND('Mapa final'!$AB$38="Muy Baja",'Mapa final'!$AD$38="Menor"),CONCATENATE("R12C",'Mapa final'!$R$38),"")</f>
        <v/>
      </c>
      <c r="O217" s="113" t="str">
        <f>IF(AND('Mapa final'!$AB$39="Muy Baja",'Mapa final'!$AD$39="Menor"),CONCATENATE("R12C",'Mapa final'!$R$39),"")</f>
        <v/>
      </c>
      <c r="P217" s="48" t="str">
        <f>IF(AND('Mapa final'!$AB$37="Muy Baja",'Mapa final'!$AD$37="Moderado"),CONCATENATE("R12C",'Mapa final'!$R$37),"")</f>
        <v/>
      </c>
      <c r="Q217" s="49" t="str">
        <f>IF(AND('Mapa final'!$AB$38="Muy Baja",'Mapa final'!$AD$38="Moderado"),CONCATENATE("R12C",'Mapa final'!$R$38),"")</f>
        <v/>
      </c>
      <c r="R217" s="108" t="str">
        <f>IF(AND('Mapa final'!$AB$39="Muy Baja",'Mapa final'!$AD$39="Moderado"),CONCATENATE("R12C",'Mapa final'!$R$39),"")</f>
        <v/>
      </c>
      <c r="S217" s="102" t="str">
        <f>IF(AND('Mapa final'!$AB$37="Muy Baja",'Mapa final'!$AD$37="Mayor"),CONCATENATE("R12C",'Mapa final'!$R$37),"")</f>
        <v/>
      </c>
      <c r="T217" s="41" t="str">
        <f>IF(AND('Mapa final'!$AB$38="Muy Baja",'Mapa final'!$AD$38="Mayor"),CONCATENATE("R12C",'Mapa final'!$R$38),"")</f>
        <v/>
      </c>
      <c r="U217" s="103" t="str">
        <f>IF(AND('Mapa final'!$AB$39="Muy Baja",'Mapa final'!$AD$39="Mayor"),CONCATENATE("R12C",'Mapa final'!$R$39),"")</f>
        <v/>
      </c>
      <c r="V217" s="42" t="str">
        <f>IF(AND('Mapa final'!$AB$37="Muy Baja",'Mapa final'!$AD$37="Catastrófico"),CONCATENATE("R12C",'Mapa final'!$R$37),"")</f>
        <v/>
      </c>
      <c r="W217" s="43" t="str">
        <f>IF(AND('Mapa final'!$AB$38="Muy Baja",'Mapa final'!$AD$38="Catastrófico"),CONCATENATE("R12C",'Mapa final'!$R$38),"")</f>
        <v/>
      </c>
      <c r="X217" s="97" t="str">
        <f>IF(AND('Mapa final'!$AB$39="Muy Baja",'Mapa final'!$AD$39="Catastrófico"),CONCATENATE("R12C",'Mapa final'!$R$39),"")</f>
        <v/>
      </c>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c r="BI217" s="55"/>
      <c r="BJ217" s="55"/>
      <c r="BK217" s="55"/>
      <c r="BL217" s="55"/>
      <c r="BM217" s="55"/>
    </row>
    <row r="218" spans="1:65" ht="15.75" x14ac:dyDescent="0.25">
      <c r="A218" s="55"/>
      <c r="B218" s="316"/>
      <c r="C218" s="316"/>
      <c r="D218" s="317"/>
      <c r="E218" s="304"/>
      <c r="F218" s="305"/>
      <c r="G218" s="305"/>
      <c r="H218" s="305"/>
      <c r="I218" s="305"/>
      <c r="J218" s="112" t="str">
        <f>IF(AND('Mapa final'!$AB$40="Muy Baja",'Mapa final'!$AD$40="Leve"),CONCATENATE("R13C",'Mapa final'!$R$40),"")</f>
        <v/>
      </c>
      <c r="K218" s="53" t="str">
        <f>IF(AND('Mapa final'!$AB$41="Muy Baja",'Mapa final'!$AD$41="Leve"),CONCATENATE("R13C",'Mapa final'!$R$41),"")</f>
        <v/>
      </c>
      <c r="L218" s="113" t="str">
        <f>IF(AND('Mapa final'!$AB$42="Muy Baja",'Mapa final'!$AD$42="Leve"),CONCATENATE("R13C",'Mapa final'!$R$42),"")</f>
        <v/>
      </c>
      <c r="M218" s="112" t="str">
        <f>IF(AND('Mapa final'!$AB$40="Muy Baja",'Mapa final'!$AD$40="Menor"),CONCATENATE("R13C",'Mapa final'!$R$40),"")</f>
        <v/>
      </c>
      <c r="N218" s="53" t="str">
        <f>IF(AND('Mapa final'!$AB$41="Muy Baja",'Mapa final'!$AD$41="Menor"),CONCATENATE("R13C",'Mapa final'!$R$41),"")</f>
        <v/>
      </c>
      <c r="O218" s="113" t="str">
        <f>IF(AND('Mapa final'!$AB$42="Muy Baja",'Mapa final'!$AD$42="Menor"),CONCATENATE("R13C",'Mapa final'!$R$42),"")</f>
        <v/>
      </c>
      <c r="P218" s="48" t="str">
        <f>IF(AND('Mapa final'!$AB$40="Muy Baja",'Mapa final'!$AD$40="Moderado"),CONCATENATE("R13C",'Mapa final'!$R$40),"")</f>
        <v>R13C1</v>
      </c>
      <c r="Q218" s="49" t="str">
        <f>IF(AND('Mapa final'!$AB$41="Muy Baja",'Mapa final'!$AD$41="Moderado"),CONCATENATE("R13C",'Mapa final'!$R$41),"")</f>
        <v/>
      </c>
      <c r="R218" s="108" t="str">
        <f>IF(AND('Mapa final'!$AB$42="Muy Baja",'Mapa final'!$AD$42="Moderado"),CONCATENATE("R13C",'Mapa final'!$R$42),"")</f>
        <v/>
      </c>
      <c r="S218" s="102" t="str">
        <f>IF(AND('Mapa final'!$AB$40="Muy Baja",'Mapa final'!$AD$40="Mayor"),CONCATENATE("R13C",'Mapa final'!$R$40),"")</f>
        <v/>
      </c>
      <c r="T218" s="41" t="str">
        <f>IF(AND('Mapa final'!$AB$41="Muy Baja",'Mapa final'!$AD$41="Mayor"),CONCATENATE("R13C",'Mapa final'!$R$41),"")</f>
        <v/>
      </c>
      <c r="U218" s="103" t="str">
        <f>IF(AND('Mapa final'!$AB$42="Muy Baja",'Mapa final'!$AD$42="Mayor"),CONCATENATE("R13C",'Mapa final'!$R$42),"")</f>
        <v/>
      </c>
      <c r="V218" s="42" t="str">
        <f>IF(AND('Mapa final'!$AB$40="Muy Baja",'Mapa final'!$AD$40="Catastrófico"),CONCATENATE("R13C",'Mapa final'!$R$40),"")</f>
        <v/>
      </c>
      <c r="W218" s="43" t="str">
        <f>IF(AND('Mapa final'!$AB$41="Muy Baja",'Mapa final'!$AD$41="Catastrófico"),CONCATENATE("R13C",'Mapa final'!$R$41),"")</f>
        <v/>
      </c>
      <c r="X218" s="97" t="str">
        <f>IF(AND('Mapa final'!$AB$42="Muy Baja",'Mapa final'!$AD$42="Catastrófico"),CONCATENATE("R13C",'Mapa final'!$R$42),"")</f>
        <v/>
      </c>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c r="BI218" s="55"/>
      <c r="BJ218" s="55"/>
      <c r="BK218" s="55"/>
      <c r="BL218" s="55"/>
      <c r="BM218" s="55"/>
    </row>
    <row r="219" spans="1:65" ht="15.75" x14ac:dyDescent="0.25">
      <c r="A219" s="55"/>
      <c r="B219" s="316"/>
      <c r="C219" s="316"/>
      <c r="D219" s="317"/>
      <c r="E219" s="304"/>
      <c r="F219" s="305"/>
      <c r="G219" s="305"/>
      <c r="H219" s="305"/>
      <c r="I219" s="305"/>
      <c r="J219" s="112" t="str">
        <f>IF(AND('Mapa final'!$AB$43="Muy Baja",'Mapa final'!$AD$43="Leve"),CONCATENATE("R14C",'Mapa final'!$R$43),"")</f>
        <v/>
      </c>
      <c r="K219" s="53" t="str">
        <f>IF(AND('Mapa final'!$AB$44="Muy Baja",'Mapa final'!$AD$44="Leve"),CONCATENATE("R14C",'Mapa final'!$R$44),"")</f>
        <v/>
      </c>
      <c r="L219" s="113" t="str">
        <f>IF(AND('Mapa final'!$AB$45="Muy Baja",'Mapa final'!$AD$45="Leve"),CONCATENATE("R14C",'Mapa final'!$R$45),"")</f>
        <v/>
      </c>
      <c r="M219" s="112" t="str">
        <f>IF(AND('Mapa final'!$AB$43="Muy Baja",'Mapa final'!$AD$43="Menor"),CONCATENATE("R14C",'Mapa final'!$R$43),"")</f>
        <v/>
      </c>
      <c r="N219" s="53" t="str">
        <f>IF(AND('Mapa final'!$AB$44="Muy Baja",'Mapa final'!$AD$44="Menor"),CONCATENATE("R14C",'Mapa final'!$R$44),"")</f>
        <v/>
      </c>
      <c r="O219" s="113" t="str">
        <f>IF(AND('Mapa final'!$AB$45="Muy Baja",'Mapa final'!$AD$45="Menor"),CONCATENATE("R14C",'Mapa final'!$R$45),"")</f>
        <v/>
      </c>
      <c r="P219" s="48" t="str">
        <f>IF(AND('Mapa final'!$AB$43="Muy Baja",'Mapa final'!$AD$43="Moderado"),CONCATENATE("R14C",'Mapa final'!$R$43),"")</f>
        <v/>
      </c>
      <c r="Q219" s="49" t="str">
        <f>IF(AND('Mapa final'!$AB$44="Muy Baja",'Mapa final'!$AD$44="Moderado"),CONCATENATE("R14C",'Mapa final'!$R$44),"")</f>
        <v>R14C2</v>
      </c>
      <c r="R219" s="108" t="str">
        <f>IF(AND('Mapa final'!$AB$45="Muy Baja",'Mapa final'!$AD$45="Moderado"),CONCATENATE("R14C",'Mapa final'!$R$45),"")</f>
        <v/>
      </c>
      <c r="S219" s="102" t="str">
        <f>IF(AND('Mapa final'!$AB$43="Muy Baja",'Mapa final'!$AD$43="Mayor"),CONCATENATE("R14C",'Mapa final'!$R$43),"")</f>
        <v/>
      </c>
      <c r="T219" s="41" t="str">
        <f>IF(AND('Mapa final'!$AB$44="Muy Baja",'Mapa final'!$AD$44="Mayor"),CONCATENATE("R14C",'Mapa final'!$R$44),"")</f>
        <v/>
      </c>
      <c r="U219" s="103" t="str">
        <f>IF(AND('Mapa final'!$AB$45="Muy Baja",'Mapa final'!$AD$45="Mayor"),CONCATENATE("R14C",'Mapa final'!$R$45),"")</f>
        <v/>
      </c>
      <c r="V219" s="42" t="str">
        <f>IF(AND('Mapa final'!$AB$43="Muy Baja",'Mapa final'!$AD$43="Catastrófico"),CONCATENATE("R14C",'Mapa final'!$R$43),"")</f>
        <v/>
      </c>
      <c r="W219" s="43" t="str">
        <f>IF(AND('Mapa final'!$AB$44="Muy Baja",'Mapa final'!$AD$44="Catastrófico"),CONCATENATE("R14C",'Mapa final'!$R$44),"")</f>
        <v/>
      </c>
      <c r="X219" s="97" t="str">
        <f>IF(AND('Mapa final'!$AB$45="Muy Baja",'Mapa final'!$AD$45="Catastrófico"),CONCATENATE("R14C",'Mapa final'!$R$45),"")</f>
        <v/>
      </c>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c r="BI219" s="55"/>
      <c r="BJ219" s="55"/>
      <c r="BK219" s="55"/>
      <c r="BL219" s="55"/>
      <c r="BM219" s="55"/>
    </row>
    <row r="220" spans="1:65" ht="15.75" x14ac:dyDescent="0.25">
      <c r="A220" s="55"/>
      <c r="B220" s="316"/>
      <c r="C220" s="316"/>
      <c r="D220" s="317"/>
      <c r="E220" s="304"/>
      <c r="F220" s="305"/>
      <c r="G220" s="305"/>
      <c r="H220" s="305"/>
      <c r="I220" s="305"/>
      <c r="J220" s="112" t="str">
        <f>IF(AND('Mapa final'!$AB$46="Muy Baja",'Mapa final'!$AD$46="Leve"),CONCATENATE("R15C",'Mapa final'!$R$46),"")</f>
        <v/>
      </c>
      <c r="K220" s="53" t="str">
        <f>IF(AND('Mapa final'!$AB$47="Muy Baja",'Mapa final'!$AD$47="Leve"),CONCATENATE("R15C",'Mapa final'!$R$47),"")</f>
        <v/>
      </c>
      <c r="L220" s="113" t="str">
        <f>IF(AND('Mapa final'!$AB$48="Muy Baja",'Mapa final'!$AD$48="Leve"),CONCATENATE("R15C",'Mapa final'!$R$48),"")</f>
        <v/>
      </c>
      <c r="M220" s="112" t="str">
        <f>IF(AND('Mapa final'!$AB$46="Muy Baja",'Mapa final'!$AD$46="Menor"),CONCATENATE("R15C",'Mapa final'!$R$46),"")</f>
        <v/>
      </c>
      <c r="N220" s="53" t="str">
        <f>IF(AND('Mapa final'!$AB$47="Muy Baja",'Mapa final'!$AD$47="Menor"),CONCATENATE("R15C",'Mapa final'!$R$47),"")</f>
        <v/>
      </c>
      <c r="O220" s="113" t="str">
        <f>IF(AND('Mapa final'!$AB$48="Muy Baja",'Mapa final'!$AD$48="Menor"),CONCATENATE("R15C",'Mapa final'!$R$48),"")</f>
        <v/>
      </c>
      <c r="P220" s="48" t="str">
        <f>IF(AND('Mapa final'!$AB$46="Muy Baja",'Mapa final'!$AD$46="Moderado"),CONCATENATE("R15C",'Mapa final'!$R$46),"")</f>
        <v/>
      </c>
      <c r="Q220" s="49" t="str">
        <f>IF(AND('Mapa final'!$AB$47="Muy Baja",'Mapa final'!$AD$47="Moderado"),CONCATENATE("R15C",'Mapa final'!$R$47),"")</f>
        <v/>
      </c>
      <c r="R220" s="108" t="str">
        <f>IF(AND('Mapa final'!$AB$48="Muy Baja",'Mapa final'!$AD$48="Moderado"),CONCATENATE("R15C",'Mapa final'!$R$48),"")</f>
        <v/>
      </c>
      <c r="S220" s="102" t="str">
        <f>IF(AND('Mapa final'!$AB$46="Muy Baja",'Mapa final'!$AD$46="Mayor"),CONCATENATE("R15C",'Mapa final'!$R$46),"")</f>
        <v/>
      </c>
      <c r="T220" s="41" t="str">
        <f>IF(AND('Mapa final'!$AB$47="Muy Baja",'Mapa final'!$AD$47="Mayor"),CONCATENATE("R15C",'Mapa final'!$R$47),"")</f>
        <v/>
      </c>
      <c r="U220" s="103" t="str">
        <f>IF(AND('Mapa final'!$AB$48="Muy Baja",'Mapa final'!$AD$48="Mayor"),CONCATENATE("R15C",'Mapa final'!$R$48),"")</f>
        <v/>
      </c>
      <c r="V220" s="42" t="str">
        <f>IF(AND('Mapa final'!$AB$46="Muy Baja",'Mapa final'!$AD$46="Catastrófico"),CONCATENATE("R15C",'Mapa final'!$R$46),"")</f>
        <v/>
      </c>
      <c r="W220" s="43" t="str">
        <f>IF(AND('Mapa final'!$AB$47="Muy Baja",'Mapa final'!$AD$47="Catastrófico"),CONCATENATE("R15C",'Mapa final'!$R$47),"")</f>
        <v/>
      </c>
      <c r="X220" s="97" t="str">
        <f>IF(AND('Mapa final'!$AB$48="Muy Baja",'Mapa final'!$AD$48="Catastrófico"),CONCATENATE("R15C",'Mapa final'!$R$48),"")</f>
        <v/>
      </c>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c r="BI220" s="55"/>
      <c r="BJ220" s="55"/>
      <c r="BK220" s="55"/>
      <c r="BL220" s="55"/>
      <c r="BM220" s="55"/>
    </row>
    <row r="221" spans="1:65" ht="15.75" x14ac:dyDescent="0.25">
      <c r="A221" s="55"/>
      <c r="B221" s="316"/>
      <c r="C221" s="316"/>
      <c r="D221" s="317"/>
      <c r="E221" s="304"/>
      <c r="F221" s="305"/>
      <c r="G221" s="305"/>
      <c r="H221" s="305"/>
      <c r="I221" s="305"/>
      <c r="J221" s="112" t="str">
        <f>IF(AND('Mapa final'!$AB$49="Muy Baja",'Mapa final'!$AD$49="Leve"),CONCATENATE("R16C",'Mapa final'!$R$49),"")</f>
        <v/>
      </c>
      <c r="K221" s="53" t="str">
        <f>IF(AND('Mapa final'!$AB$50="Muy Baja",'Mapa final'!$AD$50="Leve"),CONCATENATE("R16C",'Mapa final'!$R$50),"")</f>
        <v/>
      </c>
      <c r="L221" s="113" t="str">
        <f>IF(AND('Mapa final'!$AB$51="Muy Baja",'Mapa final'!$AD$51="Leve"),CONCATENATE("R16C",'Mapa final'!$R$51),"")</f>
        <v/>
      </c>
      <c r="M221" s="112" t="str">
        <f>IF(AND('Mapa final'!$AB$49="Muy Baja",'Mapa final'!$AD$49="Menor"),CONCATENATE("R16C",'Mapa final'!$R$49),"")</f>
        <v/>
      </c>
      <c r="N221" s="53" t="str">
        <f>IF(AND('Mapa final'!$AB$50="Muy Baja",'Mapa final'!$AD$50="Menor"),CONCATENATE("R16C",'Mapa final'!$R$50),"")</f>
        <v/>
      </c>
      <c r="O221" s="113" t="str">
        <f>IF(AND('Mapa final'!$AB$51="Muy Baja",'Mapa final'!$AD$51="Menor"),CONCATENATE("R16C",'Mapa final'!$R$51),"")</f>
        <v/>
      </c>
      <c r="P221" s="48" t="str">
        <f>IF(AND('Mapa final'!$AB$49="Muy Baja",'Mapa final'!$AD$49="Moderado"),CONCATENATE("R16C",'Mapa final'!$R$49),"")</f>
        <v/>
      </c>
      <c r="Q221" s="49" t="str">
        <f>IF(AND('Mapa final'!$AB$50="Muy Baja",'Mapa final'!$AD$50="Moderado"),CONCATENATE("R16C",'Mapa final'!$R$50),"")</f>
        <v/>
      </c>
      <c r="R221" s="108" t="str">
        <f>IF(AND('Mapa final'!$AB$51="Muy Baja",'Mapa final'!$AD$51="Moderado"),CONCATENATE("R16C",'Mapa final'!$R$51),"")</f>
        <v/>
      </c>
      <c r="S221" s="102" t="str">
        <f>IF(AND('Mapa final'!$AB$49="Muy Baja",'Mapa final'!$AD$49="Mayor"),CONCATENATE("R16C",'Mapa final'!$R$49),"")</f>
        <v/>
      </c>
      <c r="T221" s="41" t="str">
        <f>IF(AND('Mapa final'!$AB$50="Muy Baja",'Mapa final'!$AD$50="Mayor"),CONCATENATE("R16C",'Mapa final'!$R$50),"")</f>
        <v/>
      </c>
      <c r="U221" s="103" t="str">
        <f>IF(AND('Mapa final'!$AB$51="Muy Baja",'Mapa final'!$AD$51="Mayor"),CONCATENATE("R16C",'Mapa final'!$R$51),"")</f>
        <v/>
      </c>
      <c r="V221" s="42" t="str">
        <f>IF(AND('Mapa final'!$AB$49="Muy Baja",'Mapa final'!$AD$49="Catastrófico"),CONCATENATE("R16C",'Mapa final'!$R$49),"")</f>
        <v/>
      </c>
      <c r="W221" s="43" t="str">
        <f>IF(AND('Mapa final'!$AB$50="Muy Baja",'Mapa final'!$AD$50="Catastrófico"),CONCATENATE("R16C",'Mapa final'!$R$50),"")</f>
        <v/>
      </c>
      <c r="X221" s="97" t="str">
        <f>IF(AND('Mapa final'!$AB$51="Muy Baja",'Mapa final'!$AD$51="Catastrófico"),CONCATENATE("R16C",'Mapa final'!$R$51),"")</f>
        <v/>
      </c>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c r="BI221" s="55"/>
      <c r="BJ221" s="55"/>
      <c r="BK221" s="55"/>
      <c r="BL221" s="55"/>
      <c r="BM221" s="55"/>
    </row>
    <row r="222" spans="1:65" ht="15.75" x14ac:dyDescent="0.25">
      <c r="A222" s="55"/>
      <c r="B222" s="316"/>
      <c r="C222" s="316"/>
      <c r="D222" s="317"/>
      <c r="E222" s="304"/>
      <c r="F222" s="305"/>
      <c r="G222" s="305"/>
      <c r="H222" s="305"/>
      <c r="I222" s="305"/>
      <c r="J222" s="112" t="str">
        <f>IF(AND('Mapa final'!$AB$52="Muy Baja",'Mapa final'!$AD$52="Leve"),CONCATENATE("R17C",'Mapa final'!$R$52),"")</f>
        <v/>
      </c>
      <c r="K222" s="53" t="str">
        <f>IF(AND('Mapa final'!$AB$53="Muy Baja",'Mapa final'!$AD$53="Leve"),CONCATENATE("R17C",'Mapa final'!$R$53),"")</f>
        <v/>
      </c>
      <c r="L222" s="113" t="str">
        <f>IF(AND('Mapa final'!$AB$54="Muy Baja",'Mapa final'!$AD$54="Leve"),CONCATENATE("R17C",'Mapa final'!$R$54),"")</f>
        <v/>
      </c>
      <c r="M222" s="112" t="str">
        <f>IF(AND('Mapa final'!$AB$52="Muy Baja",'Mapa final'!$AD$52="Menor"),CONCATENATE("R17C",'Mapa final'!$R$52),"")</f>
        <v/>
      </c>
      <c r="N222" s="53" t="str">
        <f>IF(AND('Mapa final'!$AB$53="Muy Baja",'Mapa final'!$AD$53="Menor"),CONCATENATE("R17C",'Mapa final'!$R$53),"")</f>
        <v/>
      </c>
      <c r="O222" s="113" t="str">
        <f>IF(AND('Mapa final'!$AB$54="Muy Baja",'Mapa final'!$AD$54="Menor"),CONCATENATE("R17C",'Mapa final'!$R$54),"")</f>
        <v/>
      </c>
      <c r="P222" s="48" t="str">
        <f>IF(AND('Mapa final'!$AB$52="Muy Baja",'Mapa final'!$AD$52="Moderado"),CONCATENATE("R17C",'Mapa final'!$R$52),"")</f>
        <v/>
      </c>
      <c r="Q222" s="49" t="str">
        <f>IF(AND('Mapa final'!$AB$53="Muy Baja",'Mapa final'!$AD$53="Moderado"),CONCATENATE("R17C",'Mapa final'!$R$53),"")</f>
        <v/>
      </c>
      <c r="R222" s="108" t="str">
        <f>IF(AND('Mapa final'!$AB$54="Muy Baja",'Mapa final'!$AD$54="Moderado"),CONCATENATE("R17C",'Mapa final'!$R$54),"")</f>
        <v/>
      </c>
      <c r="S222" s="102" t="str">
        <f>IF(AND('Mapa final'!$AB$52="Muy Baja",'Mapa final'!$AD$52="Mayor"),CONCATENATE("R17C",'Mapa final'!$R$52),"")</f>
        <v/>
      </c>
      <c r="T222" s="41" t="str">
        <f>IF(AND('Mapa final'!$AB$53="Muy Baja",'Mapa final'!$AD$53="Mayor"),CONCATENATE("R17C",'Mapa final'!$R$53),"")</f>
        <v/>
      </c>
      <c r="U222" s="103" t="str">
        <f>IF(AND('Mapa final'!$AB$54="Muy Baja",'Mapa final'!$AD$54="Mayor"),CONCATENATE("R17C",'Mapa final'!$R$54),"")</f>
        <v/>
      </c>
      <c r="V222" s="42" t="str">
        <f>IF(AND('Mapa final'!$AB$52="Muy Baja",'Mapa final'!$AD$52="Catastrófico"),CONCATENATE("R17C",'Mapa final'!$R$52),"")</f>
        <v/>
      </c>
      <c r="W222" s="43" t="str">
        <f>IF(AND('Mapa final'!$AB$53="Muy Baja",'Mapa final'!$AD$53="Catastrófico"),CONCATENATE("R17C",'Mapa final'!$R$53),"")</f>
        <v/>
      </c>
      <c r="X222" s="97" t="str">
        <f>IF(AND('Mapa final'!$AB$54="Muy Baja",'Mapa final'!$AD$54="Catastrófico"),CONCATENATE("R17C",'Mapa final'!$R$54),"")</f>
        <v/>
      </c>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c r="BI222" s="55"/>
      <c r="BJ222" s="55"/>
      <c r="BK222" s="55"/>
      <c r="BL222" s="55"/>
      <c r="BM222" s="55"/>
    </row>
    <row r="223" spans="1:65" ht="15.75" x14ac:dyDescent="0.25">
      <c r="A223" s="55"/>
      <c r="B223" s="316"/>
      <c r="C223" s="316"/>
      <c r="D223" s="317"/>
      <c r="E223" s="304"/>
      <c r="F223" s="305"/>
      <c r="G223" s="305"/>
      <c r="H223" s="305"/>
      <c r="I223" s="305"/>
      <c r="J223" s="112" t="str">
        <f>IF(AND('Mapa final'!$AB$55="Muy Baja",'Mapa final'!$AD$55="Leve"),CONCATENATE("R18C",'Mapa final'!$R$55),"")</f>
        <v/>
      </c>
      <c r="K223" s="53" t="str">
        <f>IF(AND('Mapa final'!$AB$56="Muy Baja",'Mapa final'!$AD$56="Leve"),CONCATENATE("R18C",'Mapa final'!$R$56),"")</f>
        <v/>
      </c>
      <c r="L223" s="113" t="str">
        <f>IF(AND('Mapa final'!$AB$57="Muy Baja",'Mapa final'!$AD$57="Leve"),CONCATENATE("R18C",'Mapa final'!$R$57),"")</f>
        <v/>
      </c>
      <c r="M223" s="112" t="str">
        <f>IF(AND('Mapa final'!$AB$55="Muy Baja",'Mapa final'!$AD$55="Menor"),CONCATENATE("R18C",'Mapa final'!$R$55),"")</f>
        <v/>
      </c>
      <c r="N223" s="53" t="str">
        <f>IF(AND('Mapa final'!$AB$56="Muy Baja",'Mapa final'!$AD$56="Menor"),CONCATENATE("R18C",'Mapa final'!$R$56),"")</f>
        <v/>
      </c>
      <c r="O223" s="113" t="str">
        <f>IF(AND('Mapa final'!$AB$57="Muy Baja",'Mapa final'!$AD$57="Menor"),CONCATENATE("R18C",'Mapa final'!$R$57),"")</f>
        <v/>
      </c>
      <c r="P223" s="48" t="str">
        <f>IF(AND('Mapa final'!$AB$55="Muy Baja",'Mapa final'!$AD$55="Moderado"),CONCATENATE("R18C",'Mapa final'!$R$55),"")</f>
        <v/>
      </c>
      <c r="Q223" s="49" t="str">
        <f>IF(AND('Mapa final'!$AB$56="Muy Baja",'Mapa final'!$AD$56="Moderado"),CONCATENATE("R18C",'Mapa final'!$R$56),"")</f>
        <v/>
      </c>
      <c r="R223" s="108" t="str">
        <f>IF(AND('Mapa final'!$AB$57="Muy Baja",'Mapa final'!$AD$57="Moderado"),CONCATENATE("R18C",'Mapa final'!$R$57),"")</f>
        <v/>
      </c>
      <c r="S223" s="102" t="str">
        <f>IF(AND('Mapa final'!$AB$55="Muy Baja",'Mapa final'!$AD$55="Mayor"),CONCATENATE("R18C",'Mapa final'!$R$55),"")</f>
        <v/>
      </c>
      <c r="T223" s="41" t="str">
        <f>IF(AND('Mapa final'!$AB$56="Muy Baja",'Mapa final'!$AD$56="Mayor"),CONCATENATE("R18C",'Mapa final'!$R$56),"")</f>
        <v/>
      </c>
      <c r="U223" s="103" t="str">
        <f>IF(AND('Mapa final'!$AB$57="Muy Baja",'Mapa final'!$AD$57="Mayor"),CONCATENATE("R18C",'Mapa final'!$R$57),"")</f>
        <v/>
      </c>
      <c r="V223" s="42" t="str">
        <f>IF(AND('Mapa final'!$AB$55="Muy Baja",'Mapa final'!$AD$55="Catastrófico"),CONCATENATE("R18C",'Mapa final'!$R$55),"")</f>
        <v/>
      </c>
      <c r="W223" s="43" t="str">
        <f>IF(AND('Mapa final'!$AB$56="Muy Baja",'Mapa final'!$AD$56="Catastrófico"),CONCATENATE("R18C",'Mapa final'!$R$56),"")</f>
        <v/>
      </c>
      <c r="X223" s="97" t="str">
        <f>IF(AND('Mapa final'!$AB$57="Muy Baja",'Mapa final'!$AD$57="Catastrófico"),CONCATENATE("R18C",'Mapa final'!$R$57),"")</f>
        <v/>
      </c>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c r="BI223" s="55"/>
      <c r="BJ223" s="55"/>
      <c r="BK223" s="55"/>
      <c r="BL223" s="55"/>
      <c r="BM223" s="55"/>
    </row>
    <row r="224" spans="1:65" ht="15.75" x14ac:dyDescent="0.25">
      <c r="A224" s="55"/>
      <c r="B224" s="316"/>
      <c r="C224" s="316"/>
      <c r="D224" s="317"/>
      <c r="E224" s="304"/>
      <c r="F224" s="305"/>
      <c r="G224" s="305"/>
      <c r="H224" s="305"/>
      <c r="I224" s="305"/>
      <c r="J224" s="112" t="str">
        <f>IF(AND('Mapa final'!$AB$58="Muy Baja",'Mapa final'!$AD$58="Leve"),CONCATENATE("R19C",'Mapa final'!$R$58),"")</f>
        <v/>
      </c>
      <c r="K224" s="53" t="str">
        <f>IF(AND('Mapa final'!$AB$59="Muy Baja",'Mapa final'!$AD$59="Leve"),CONCATENATE("R19C",'Mapa final'!$R$59),"")</f>
        <v/>
      </c>
      <c r="L224" s="113" t="str">
        <f>IF(AND('Mapa final'!$AB$60="Muy Baja",'Mapa final'!$AD$60="Leve"),CONCATENATE("R19C",'Mapa final'!$R$60),"")</f>
        <v/>
      </c>
      <c r="M224" s="112" t="str">
        <f>IF(AND('Mapa final'!$AB$58="Muy Baja",'Mapa final'!$AD$58="Menor"),CONCATENATE("R19C",'Mapa final'!$R$58),"")</f>
        <v/>
      </c>
      <c r="N224" s="53" t="str">
        <f>IF(AND('Mapa final'!$AB$59="Muy Baja",'Mapa final'!$AD$59="Menor"),CONCATENATE("R19C",'Mapa final'!$R$59),"")</f>
        <v/>
      </c>
      <c r="O224" s="113" t="str">
        <f>IF(AND('Mapa final'!$AB$60="Muy Baja",'Mapa final'!$AD$60="Menor"),CONCATENATE("R19C",'Mapa final'!$R$60),"")</f>
        <v/>
      </c>
      <c r="P224" s="48" t="str">
        <f>IF(AND('Mapa final'!$AB$58="Muy Baja",'Mapa final'!$AD$58="Moderado"),CONCATENATE("R19C",'Mapa final'!$R$58),"")</f>
        <v/>
      </c>
      <c r="Q224" s="49" t="str">
        <f>IF(AND('Mapa final'!$AB$59="Muy Baja",'Mapa final'!$AD$59="Moderado"),CONCATENATE("R19C",'Mapa final'!$R$59),"")</f>
        <v/>
      </c>
      <c r="R224" s="108" t="str">
        <f>IF(AND('Mapa final'!$AB$60="Muy Baja",'Mapa final'!$AD$60="Moderado"),CONCATENATE("R19C",'Mapa final'!$R$60),"")</f>
        <v/>
      </c>
      <c r="S224" s="102" t="str">
        <f>IF(AND('Mapa final'!$AB$58="Muy Baja",'Mapa final'!$AD$58="Mayor"),CONCATENATE("R19C",'Mapa final'!$R$58),"")</f>
        <v/>
      </c>
      <c r="T224" s="41" t="str">
        <f>IF(AND('Mapa final'!$AB$59="Muy Baja",'Mapa final'!$AD$59="Mayor"),CONCATENATE("R19C",'Mapa final'!$R$59),"")</f>
        <v/>
      </c>
      <c r="U224" s="103" t="str">
        <f>IF(AND('Mapa final'!$AB$60="Muy Baja",'Mapa final'!$AD$60="Mayor"),CONCATENATE("R19C",'Mapa final'!$R$60),"")</f>
        <v/>
      </c>
      <c r="V224" s="42" t="str">
        <f>IF(AND('Mapa final'!$AB$58="Muy Baja",'Mapa final'!$AD$58="Catastrófico"),CONCATENATE("R19C",'Mapa final'!$R$58),"")</f>
        <v/>
      </c>
      <c r="W224" s="43" t="str">
        <f>IF(AND('Mapa final'!$AB$59="Muy Baja",'Mapa final'!$AD$59="Catastrófico"),CONCATENATE("R19C",'Mapa final'!$R$59),"")</f>
        <v/>
      </c>
      <c r="X224" s="97" t="str">
        <f>IF(AND('Mapa final'!$AB$60="Muy Baja",'Mapa final'!$AD$60="Catastrófico"),CONCATENATE("R19C",'Mapa final'!$R$60),"")</f>
        <v/>
      </c>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c r="BI224" s="55"/>
      <c r="BJ224" s="55"/>
      <c r="BK224" s="55"/>
      <c r="BL224" s="55"/>
      <c r="BM224" s="55"/>
    </row>
    <row r="225" spans="1:65" ht="15.75" x14ac:dyDescent="0.25">
      <c r="A225" s="55"/>
      <c r="B225" s="316"/>
      <c r="C225" s="316"/>
      <c r="D225" s="317"/>
      <c r="E225" s="304"/>
      <c r="F225" s="305"/>
      <c r="G225" s="305"/>
      <c r="H225" s="305"/>
      <c r="I225" s="305"/>
      <c r="J225" s="112" t="str">
        <f>IF(AND('Mapa final'!$AB$61="Muy Baja",'Mapa final'!$AD$61="Leve"),CONCATENATE("R20C",'Mapa final'!$R$61),"")</f>
        <v/>
      </c>
      <c r="K225" s="53" t="str">
        <f>IF(AND('Mapa final'!$AB$62="Muy Baja",'Mapa final'!$AD$62="Leve"),CONCATENATE("R20C",'Mapa final'!$R$62),"")</f>
        <v/>
      </c>
      <c r="L225" s="113" t="str">
        <f>IF(AND('Mapa final'!$AB$63="Muy Baja",'Mapa final'!$AD$63="Leve"),CONCATENATE("R20C",'Mapa final'!$R$63),"")</f>
        <v/>
      </c>
      <c r="M225" s="112" t="str">
        <f>IF(AND('Mapa final'!$AB$61="Muy Baja",'Mapa final'!$AD$61="Menor"),CONCATENATE("R20C",'Mapa final'!$R$61),"")</f>
        <v/>
      </c>
      <c r="N225" s="53" t="str">
        <f>IF(AND('Mapa final'!$AB$62="Muy Baja",'Mapa final'!$AD$62="Menor"),CONCATENATE("R20C",'Mapa final'!$R$62),"")</f>
        <v/>
      </c>
      <c r="O225" s="113" t="str">
        <f>IF(AND('Mapa final'!$AB$63="Muy Baja",'Mapa final'!$AD$63="Menor"),CONCATENATE("R20C",'Mapa final'!$R$63),"")</f>
        <v/>
      </c>
      <c r="P225" s="48" t="str">
        <f>IF(AND('Mapa final'!$AB$61="Muy Baja",'Mapa final'!$AD$61="Moderado"),CONCATENATE("R20C",'Mapa final'!$R$61),"")</f>
        <v/>
      </c>
      <c r="Q225" s="49" t="str">
        <f>IF(AND('Mapa final'!$AB$62="Muy Baja",'Mapa final'!$AD$62="Moderado"),CONCATENATE("R20C",'Mapa final'!$R$62),"")</f>
        <v/>
      </c>
      <c r="R225" s="108" t="str">
        <f>IF(AND('Mapa final'!$AB$63="Muy Baja",'Mapa final'!$AD$63="Moderado"),CONCATENATE("R20C",'Mapa final'!$R$63),"")</f>
        <v/>
      </c>
      <c r="S225" s="102" t="str">
        <f>IF(AND('Mapa final'!$AB$61="Muy Baja",'Mapa final'!$AD$61="Mayor"),CONCATENATE("R20C",'Mapa final'!$R$61),"")</f>
        <v/>
      </c>
      <c r="T225" s="41" t="str">
        <f>IF(AND('Mapa final'!$AB$62="Muy Baja",'Mapa final'!$AD$62="Mayor"),CONCATENATE("R20C",'Mapa final'!$R$62),"")</f>
        <v/>
      </c>
      <c r="U225" s="103" t="str">
        <f>IF(AND('Mapa final'!$AB$63="Muy Baja",'Mapa final'!$AD$63="Mayor"),CONCATENATE("R20C",'Mapa final'!$R$63),"")</f>
        <v/>
      </c>
      <c r="V225" s="42" t="str">
        <f>IF(AND('Mapa final'!$AB$61="Muy Baja",'Mapa final'!$AD$61="Catastrófico"),CONCATENATE("R20C",'Mapa final'!$R$61),"")</f>
        <v/>
      </c>
      <c r="W225" s="43" t="str">
        <f>IF(AND('Mapa final'!$AB$62="Muy Baja",'Mapa final'!$AD$62="Catastrófico"),CONCATENATE("R20C",'Mapa final'!$R$62),"")</f>
        <v/>
      </c>
      <c r="X225" s="97" t="str">
        <f>IF(AND('Mapa final'!$AB$63="Muy Baja",'Mapa final'!$AD$63="Catastrófico"),CONCATENATE("R20C",'Mapa final'!$R$63),"")</f>
        <v/>
      </c>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c r="BI225" s="55"/>
      <c r="BJ225" s="55"/>
      <c r="BK225" s="55"/>
      <c r="BL225" s="55"/>
      <c r="BM225" s="55"/>
    </row>
    <row r="226" spans="1:65" ht="15.75" x14ac:dyDescent="0.25">
      <c r="A226" s="55"/>
      <c r="B226" s="316"/>
      <c r="C226" s="316"/>
      <c r="D226" s="317"/>
      <c r="E226" s="304"/>
      <c r="F226" s="305"/>
      <c r="G226" s="305"/>
      <c r="H226" s="305"/>
      <c r="I226" s="305"/>
      <c r="J226" s="112" t="str">
        <f>IF(AND('Mapa final'!$AB$64="Muy Baja",'Mapa final'!$AD$64="Leve"),CONCATENATE("R21C",'Mapa final'!$R$64),"")</f>
        <v/>
      </c>
      <c r="K226" s="53" t="str">
        <f>IF(AND('Mapa final'!$AB$65="Muy Baja",'Mapa final'!$AD$65="Leve"),CONCATENATE("R21C",'Mapa final'!$R$65),"")</f>
        <v/>
      </c>
      <c r="L226" s="113" t="str">
        <f>IF(AND('Mapa final'!$AB$66="Muy Baja",'Mapa final'!$AD$66="Leve"),CONCATENATE("R21C",'Mapa final'!$R$66),"")</f>
        <v/>
      </c>
      <c r="M226" s="112" t="str">
        <f>IF(AND('Mapa final'!$AB$64="Muy Baja",'Mapa final'!$AD$64="Menor"),CONCATENATE("R21C",'Mapa final'!$R$64),"")</f>
        <v/>
      </c>
      <c r="N226" s="53" t="str">
        <f>IF(AND('Mapa final'!$AB$65="Muy Baja",'Mapa final'!$AD$65="Menor"),CONCATENATE("R21C",'Mapa final'!$R$65),"")</f>
        <v/>
      </c>
      <c r="O226" s="113" t="str">
        <f>IF(AND('Mapa final'!$AB$66="Muy Baja",'Mapa final'!$AD$66="Menor"),CONCATENATE("R21C",'Mapa final'!$R$66),"")</f>
        <v/>
      </c>
      <c r="P226" s="48" t="str">
        <f>IF(AND('Mapa final'!$AB$64="Muy Baja",'Mapa final'!$AD$64="Moderado"),CONCATENATE("R21C",'Mapa final'!$R$64),"")</f>
        <v/>
      </c>
      <c r="Q226" s="49" t="str">
        <f>IF(AND('Mapa final'!$AB$65="Muy Baja",'Mapa final'!$AD$65="Moderado"),CONCATENATE("R21C",'Mapa final'!$R$65),"")</f>
        <v/>
      </c>
      <c r="R226" s="108" t="str">
        <f>IF(AND('Mapa final'!$AB$66="Muy Baja",'Mapa final'!$AD$66="Moderado"),CONCATENATE("R21C",'Mapa final'!$R$66),"")</f>
        <v/>
      </c>
      <c r="S226" s="102" t="str">
        <f>IF(AND('Mapa final'!$AB$64="Muy Baja",'Mapa final'!$AD$64="Mayor"),CONCATENATE("R21C",'Mapa final'!$R$64),"")</f>
        <v/>
      </c>
      <c r="T226" s="41" t="str">
        <f>IF(AND('Mapa final'!$AB$65="Muy Baja",'Mapa final'!$AD$65="Mayor"),CONCATENATE("R21C",'Mapa final'!$R$65),"")</f>
        <v/>
      </c>
      <c r="U226" s="103" t="str">
        <f>IF(AND('Mapa final'!$AB$66="Muy Baja",'Mapa final'!$AD$66="Mayor"),CONCATENATE("R21C",'Mapa final'!$R$66),"")</f>
        <v/>
      </c>
      <c r="V226" s="42" t="str">
        <f>IF(AND('Mapa final'!$AB$64="Muy Baja",'Mapa final'!$AD$64="Catastrófico"),CONCATENATE("R21C",'Mapa final'!$R$64),"")</f>
        <v/>
      </c>
      <c r="W226" s="43" t="str">
        <f>IF(AND('Mapa final'!$AB$65="Muy Baja",'Mapa final'!$AD$65="Catastrófico"),CONCATENATE("R21C",'Mapa final'!$R$65),"")</f>
        <v/>
      </c>
      <c r="X226" s="97" t="str">
        <f>IF(AND('Mapa final'!$AB$66="Muy Baja",'Mapa final'!$AD$66="Catastrófico"),CONCATENATE("R21C",'Mapa final'!$R$66),"")</f>
        <v/>
      </c>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c r="BI226" s="55"/>
      <c r="BJ226" s="55"/>
      <c r="BK226" s="55"/>
      <c r="BL226" s="55"/>
      <c r="BM226" s="55"/>
    </row>
    <row r="227" spans="1:65" ht="15.75" x14ac:dyDescent="0.25">
      <c r="A227" s="55"/>
      <c r="B227" s="316"/>
      <c r="C227" s="316"/>
      <c r="D227" s="317"/>
      <c r="E227" s="304"/>
      <c r="F227" s="305"/>
      <c r="G227" s="305"/>
      <c r="H227" s="305"/>
      <c r="I227" s="305"/>
      <c r="J227" s="112" t="str">
        <f>IF(AND('Mapa final'!$AB$67="Muy Baja",'Mapa final'!$AD$67="Leve"),CONCATENATE("R22C",'Mapa final'!$R$67),"")</f>
        <v/>
      </c>
      <c r="K227" s="53" t="str">
        <f>IF(AND('Mapa final'!$AB$68="Muy Baja",'Mapa final'!$AD$68="Leve"),CONCATENATE("R22C",'Mapa final'!$R$68),"")</f>
        <v/>
      </c>
      <c r="L227" s="113" t="str">
        <f>IF(AND('Mapa final'!$AB$69="Muy Baja",'Mapa final'!$AD$69="Leve"),CONCATENATE("R22C",'Mapa final'!$R$69),"")</f>
        <v/>
      </c>
      <c r="M227" s="112" t="str">
        <f>IF(AND('Mapa final'!$AB$67="Muy Baja",'Mapa final'!$AD$67="Menor"),CONCATENATE("R22C",'Mapa final'!$R$67),"")</f>
        <v/>
      </c>
      <c r="N227" s="53" t="str">
        <f>IF(AND('Mapa final'!$AB$68="Muy Baja",'Mapa final'!$AD$68="Menor"),CONCATENATE("R22C",'Mapa final'!$R$68),"")</f>
        <v/>
      </c>
      <c r="O227" s="113" t="str">
        <f>IF(AND('Mapa final'!$AB$69="Muy Baja",'Mapa final'!$AD$69="Menor"),CONCATENATE("R22C",'Mapa final'!$R$69),"")</f>
        <v/>
      </c>
      <c r="P227" s="48" t="str">
        <f>IF(AND('Mapa final'!$AB$67="Muy Baja",'Mapa final'!$AD$67="Moderado"),CONCATENATE("R22C",'Mapa final'!$R$67),"")</f>
        <v/>
      </c>
      <c r="Q227" s="49" t="str">
        <f>IF(AND('Mapa final'!$AB$68="Muy Baja",'Mapa final'!$AD$68="Moderado"),CONCATENATE("R22C",'Mapa final'!$R$68),"")</f>
        <v/>
      </c>
      <c r="R227" s="108" t="str">
        <f>IF(AND('Mapa final'!$AB$69="Muy Baja",'Mapa final'!$AD$69="Moderado"),CONCATENATE("R22C",'Mapa final'!$R$69),"")</f>
        <v/>
      </c>
      <c r="S227" s="102" t="str">
        <f>IF(AND('Mapa final'!$AB$67="Muy Baja",'Mapa final'!$AD$67="Mayor"),CONCATENATE("R22C",'Mapa final'!$R$67),"")</f>
        <v/>
      </c>
      <c r="T227" s="41" t="str">
        <f>IF(AND('Mapa final'!$AB$68="Muy Baja",'Mapa final'!$AD$68="Mayor"),CONCATENATE("R22C",'Mapa final'!$R$68),"")</f>
        <v/>
      </c>
      <c r="U227" s="103" t="str">
        <f>IF(AND('Mapa final'!$AB$69="Muy Baja",'Mapa final'!$AD$69="Mayor"),CONCATENATE("R22C",'Mapa final'!$R$69),"")</f>
        <v/>
      </c>
      <c r="V227" s="42" t="str">
        <f>IF(AND('Mapa final'!$AB$67="Muy Baja",'Mapa final'!$AD$67="Catastrófico"),CONCATENATE("R22C",'Mapa final'!$R$67),"")</f>
        <v/>
      </c>
      <c r="W227" s="43" t="str">
        <f>IF(AND('Mapa final'!$AB$68="Muy Baja",'Mapa final'!$AD$68="Catastrófico"),CONCATENATE("R22C",'Mapa final'!$R$68),"")</f>
        <v/>
      </c>
      <c r="X227" s="97" t="str">
        <f>IF(AND('Mapa final'!$AB$69="Muy Baja",'Mapa final'!$AD$69="Catastrófico"),CONCATENATE("R22C",'Mapa final'!$R$69),"")</f>
        <v/>
      </c>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55"/>
      <c r="BL227" s="55"/>
      <c r="BM227" s="55"/>
    </row>
    <row r="228" spans="1:65" ht="15.75" x14ac:dyDescent="0.25">
      <c r="A228" s="55"/>
      <c r="B228" s="316"/>
      <c r="C228" s="316"/>
      <c r="D228" s="317"/>
      <c r="E228" s="304"/>
      <c r="F228" s="305"/>
      <c r="G228" s="305"/>
      <c r="H228" s="305"/>
      <c r="I228" s="305"/>
      <c r="J228" s="112" t="str">
        <f>IF(AND('Mapa final'!$AB$73="Muy Baja",'Mapa final'!$AD$73="Leve"),CONCATENATE("R23C",'Mapa final'!$R$73),"")</f>
        <v/>
      </c>
      <c r="K228" s="53" t="str">
        <f>IF(AND('Mapa final'!$AB$74="Muy Baja",'Mapa final'!$AD$74="Leve"),CONCATENATE("R23C",'Mapa final'!$R$74),"")</f>
        <v/>
      </c>
      <c r="L228" s="113" t="str">
        <f>IF(AND('Mapa final'!$AB$75="Muy Baja",'Mapa final'!$AD$75="Leve"),CONCATENATE("R23C",'Mapa final'!$R$75),"")</f>
        <v/>
      </c>
      <c r="M228" s="112" t="str">
        <f>IF(AND('Mapa final'!$AB$73="Muy Baja",'Mapa final'!$AD$73="Menor"),CONCATENATE("R23C",'Mapa final'!$R$73),"")</f>
        <v/>
      </c>
      <c r="N228" s="53" t="str">
        <f>IF(AND('Mapa final'!$AB$74="Muy Baja",'Mapa final'!$AD$74="Menor"),CONCATENATE("R23C",'Mapa final'!$R$74),"")</f>
        <v/>
      </c>
      <c r="O228" s="113" t="str">
        <f>IF(AND('Mapa final'!$AB$75="Muy Baja",'Mapa final'!$AD$75="Menor"),CONCATENATE("R23C",'Mapa final'!$R$75),"")</f>
        <v/>
      </c>
      <c r="P228" s="48" t="str">
        <f>IF(AND('Mapa final'!$AB$73="Muy Baja",'Mapa final'!$AD$73="Moderado"),CONCATENATE("R23C",'Mapa final'!$R$73),"")</f>
        <v/>
      </c>
      <c r="Q228" s="49" t="str">
        <f>IF(AND('Mapa final'!$AB$74="Muy Baja",'Mapa final'!$AD$74="Moderado"),CONCATENATE("R23C",'Mapa final'!$R$74),"")</f>
        <v/>
      </c>
      <c r="R228" s="108" t="str">
        <f>IF(AND('Mapa final'!$AB$75="Muy Baja",'Mapa final'!$AD$75="Moderado"),CONCATENATE("R23C",'Mapa final'!$R$75),"")</f>
        <v/>
      </c>
      <c r="S228" s="102" t="str">
        <f>IF(AND('Mapa final'!$AB$73="Muy Baja",'Mapa final'!$AD$73="Mayor"),CONCATENATE("R23C",'Mapa final'!$R$73),"")</f>
        <v/>
      </c>
      <c r="T228" s="41" t="str">
        <f>IF(AND('Mapa final'!$AB$74="Muy Baja",'Mapa final'!$AD$74="Mayor"),CONCATENATE("R23C",'Mapa final'!$R$74),"")</f>
        <v/>
      </c>
      <c r="U228" s="103" t="str">
        <f>IF(AND('Mapa final'!$AB$75="Muy Baja",'Mapa final'!$AD$75="Mayor"),CONCATENATE("R23C",'Mapa final'!$R$75),"")</f>
        <v/>
      </c>
      <c r="V228" s="42" t="str">
        <f>IF(AND('Mapa final'!$AB$73="Muy Baja",'Mapa final'!$AD$73="Catastrófico"),CONCATENATE("R23C",'Mapa final'!$R$73),"")</f>
        <v/>
      </c>
      <c r="W228" s="43" t="str">
        <f>IF(AND('Mapa final'!$AB$74="Muy Baja",'Mapa final'!$AD$74="Catastrófico"),CONCATENATE("R23C",'Mapa final'!$R$74),"")</f>
        <v/>
      </c>
      <c r="X228" s="97" t="str">
        <f>IF(AND('Mapa final'!$AB$75="Muy Baja",'Mapa final'!$AD$75="Catastrófico"),CONCATENATE("R23C",'Mapa final'!$R$75),"")</f>
        <v/>
      </c>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c r="BI228" s="55"/>
      <c r="BJ228" s="55"/>
      <c r="BK228" s="55"/>
      <c r="BL228" s="55"/>
      <c r="BM228" s="55"/>
    </row>
    <row r="229" spans="1:65" ht="15.75" x14ac:dyDescent="0.25">
      <c r="A229" s="55"/>
      <c r="B229" s="316"/>
      <c r="C229" s="316"/>
      <c r="D229" s="317"/>
      <c r="E229" s="304"/>
      <c r="F229" s="305"/>
      <c r="G229" s="305"/>
      <c r="H229" s="305"/>
      <c r="I229" s="305"/>
      <c r="J229" s="112" t="str">
        <f>IF(AND('Mapa final'!$AB$76="Muy Baja",'Mapa final'!$AD$76="Leve"),CONCATENATE("R24C",'Mapa final'!$R$76),"")</f>
        <v/>
      </c>
      <c r="K229" s="53" t="str">
        <f>IF(AND('Mapa final'!$AB$77="Muy Baja",'Mapa final'!$AD$77="Leve"),CONCATENATE("R24C",'Mapa final'!$R$77),"")</f>
        <v/>
      </c>
      <c r="L229" s="113" t="str">
        <f>IF(AND('Mapa final'!$AB$78="Muy Baja",'Mapa final'!$AD$78="Leve"),CONCATENATE("R24C",'Mapa final'!$R$78),"")</f>
        <v/>
      </c>
      <c r="M229" s="112" t="str">
        <f>IF(AND('Mapa final'!$AB$76="Muy Baja",'Mapa final'!$AD$76="Menor"),CONCATENATE("R24C",'Mapa final'!$R$76),"")</f>
        <v/>
      </c>
      <c r="N229" s="53" t="str">
        <f>IF(AND('Mapa final'!$AB$77="Muy Baja",'Mapa final'!$AD$77="Menor"),CONCATENATE("R24C",'Mapa final'!$R$77),"")</f>
        <v/>
      </c>
      <c r="O229" s="113" t="str">
        <f>IF(AND('Mapa final'!$AB$78="Muy Baja",'Mapa final'!$AD$78="Menor"),CONCATENATE("R24C",'Mapa final'!$R$78),"")</f>
        <v/>
      </c>
      <c r="P229" s="48" t="str">
        <f>IF(AND('Mapa final'!$AB$76="Muy Baja",'Mapa final'!$AD$76="Moderado"),CONCATENATE("R24C",'Mapa final'!$R$76),"")</f>
        <v/>
      </c>
      <c r="Q229" s="49" t="str">
        <f>IF(AND('Mapa final'!$AB$77="Muy Baja",'Mapa final'!$AD$77="Moderado"),CONCATENATE("R24C",'Mapa final'!$R$77),"")</f>
        <v/>
      </c>
      <c r="R229" s="108" t="str">
        <f>IF(AND('Mapa final'!$AB$78="Muy Baja",'Mapa final'!$AD$78="Moderado"),CONCATENATE("R24C",'Mapa final'!$R$78),"")</f>
        <v/>
      </c>
      <c r="S229" s="102" t="str">
        <f>IF(AND('Mapa final'!$AB$76="Muy Baja",'Mapa final'!$AD$76="Mayor"),CONCATENATE("R24C",'Mapa final'!$R$76),"")</f>
        <v/>
      </c>
      <c r="T229" s="41" t="str">
        <f>IF(AND('Mapa final'!$AB$77="Muy Baja",'Mapa final'!$AD$77="Mayor"),CONCATENATE("R24C",'Mapa final'!$R$77),"")</f>
        <v/>
      </c>
      <c r="U229" s="103" t="str">
        <f>IF(AND('Mapa final'!$AB$78="Muy Baja",'Mapa final'!$AD$78="Mayor"),CONCATENATE("R24C",'Mapa final'!$R$78),"")</f>
        <v/>
      </c>
      <c r="V229" s="42" t="str">
        <f>IF(AND('Mapa final'!$AB$76="Muy Baja",'Mapa final'!$AD$76="Catastrófico"),CONCATENATE("R24C",'Mapa final'!$R$76),"")</f>
        <v/>
      </c>
      <c r="W229" s="43" t="str">
        <f>IF(AND('Mapa final'!$AB$77="Muy Baja",'Mapa final'!$AD$77="Catastrófico"),CONCATENATE("R24C",'Mapa final'!$R$77),"")</f>
        <v/>
      </c>
      <c r="X229" s="97" t="str">
        <f>IF(AND('Mapa final'!$AB$78="Muy Baja",'Mapa final'!$AD$78="Catastrófico"),CONCATENATE("R24C",'Mapa final'!$R$78),"")</f>
        <v/>
      </c>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c r="BI229" s="55"/>
      <c r="BJ229" s="55"/>
      <c r="BK229" s="55"/>
      <c r="BL229" s="55"/>
      <c r="BM229" s="55"/>
    </row>
    <row r="230" spans="1:65" ht="15.75" x14ac:dyDescent="0.25">
      <c r="A230" s="55"/>
      <c r="B230" s="316"/>
      <c r="C230" s="316"/>
      <c r="D230" s="317"/>
      <c r="E230" s="304"/>
      <c r="F230" s="305"/>
      <c r="G230" s="305"/>
      <c r="H230" s="305"/>
      <c r="I230" s="305"/>
      <c r="J230" s="112" t="str">
        <f>IF(AND('Mapa final'!$AB$79="Muy Baja",'Mapa final'!$AD$79="Leve"),CONCATENATE("R25C",'Mapa final'!$R$79),"")</f>
        <v/>
      </c>
      <c r="K230" s="53" t="str">
        <f>IF(AND('Mapa final'!$AB$80="Muy Baja",'Mapa final'!$AD$80="Leve"),CONCATENATE("R25C",'Mapa final'!$R$80),"")</f>
        <v/>
      </c>
      <c r="L230" s="113" t="str">
        <f>IF(AND('Mapa final'!$AB$81="Muy Baja",'Mapa final'!$AD$81="Leve"),CONCATENATE("R25C",'Mapa final'!$R$81),"")</f>
        <v/>
      </c>
      <c r="M230" s="112" t="str">
        <f>IF(AND('Mapa final'!$AB$79="Muy Baja",'Mapa final'!$AD$79="Menor"),CONCATENATE("R25C",'Mapa final'!$R$79),"")</f>
        <v/>
      </c>
      <c r="N230" s="53" t="str">
        <f>IF(AND('Mapa final'!$AB$80="Muy Baja",'Mapa final'!$AD$80="Menor"),CONCATENATE("R25C",'Mapa final'!$R$80),"")</f>
        <v/>
      </c>
      <c r="O230" s="113" t="str">
        <f>IF(AND('Mapa final'!$AB$81="Muy Baja",'Mapa final'!$AD$81="Menor"),CONCATENATE("R25C",'Mapa final'!$R$81),"")</f>
        <v/>
      </c>
      <c r="P230" s="48" t="str">
        <f>IF(AND('Mapa final'!$AB$79="Muy Baja",'Mapa final'!$AD$79="Moderado"),CONCATENATE("R25C",'Mapa final'!$R$79),"")</f>
        <v/>
      </c>
      <c r="Q230" s="49" t="str">
        <f>IF(AND('Mapa final'!$AB$80="Muy Baja",'Mapa final'!$AD$80="Moderado"),CONCATENATE("R25C",'Mapa final'!$R$80),"")</f>
        <v>R25C2</v>
      </c>
      <c r="R230" s="108" t="str">
        <f>IF(AND('Mapa final'!$AB$81="Muy Baja",'Mapa final'!$AD$81="Moderado"),CONCATENATE("R25C",'Mapa final'!$R$81),"")</f>
        <v>R25C3</v>
      </c>
      <c r="S230" s="102" t="str">
        <f>IF(AND('Mapa final'!$AB$79="Muy Baja",'Mapa final'!$AD$79="Mayor"),CONCATENATE("R25C",'Mapa final'!$R$79),"")</f>
        <v/>
      </c>
      <c r="T230" s="41" t="str">
        <f>IF(AND('Mapa final'!$AB$80="Muy Baja",'Mapa final'!$AD$80="Mayor"),CONCATENATE("R25C",'Mapa final'!$R$80),"")</f>
        <v/>
      </c>
      <c r="U230" s="103" t="str">
        <f>IF(AND('Mapa final'!$AB$81="Muy Baja",'Mapa final'!$AD$81="Mayor"),CONCATENATE("R25C",'Mapa final'!$R$81),"")</f>
        <v/>
      </c>
      <c r="V230" s="42" t="str">
        <f>IF(AND('Mapa final'!$AB$79="Muy Baja",'Mapa final'!$AD$79="Catastrófico"),CONCATENATE("R25C",'Mapa final'!$R$79),"")</f>
        <v/>
      </c>
      <c r="W230" s="43" t="str">
        <f>IF(AND('Mapa final'!$AB$80="Muy Baja",'Mapa final'!$AD$80="Catastrófico"),CONCATENATE("R25C",'Mapa final'!$R$80),"")</f>
        <v/>
      </c>
      <c r="X230" s="97" t="str">
        <f>IF(AND('Mapa final'!$AB$81="Muy Baja",'Mapa final'!$AD$81="Catastrófico"),CONCATENATE("R25C",'Mapa final'!$R$81),"")</f>
        <v/>
      </c>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c r="BI230" s="55"/>
      <c r="BJ230" s="55"/>
      <c r="BK230" s="55"/>
      <c r="BL230" s="55"/>
      <c r="BM230" s="55"/>
    </row>
    <row r="231" spans="1:65" ht="15.75" x14ac:dyDescent="0.25">
      <c r="A231" s="55"/>
      <c r="B231" s="316"/>
      <c r="C231" s="316"/>
      <c r="D231" s="317"/>
      <c r="E231" s="304"/>
      <c r="F231" s="305"/>
      <c r="G231" s="305"/>
      <c r="H231" s="305"/>
      <c r="I231" s="305"/>
      <c r="J231" s="112" t="str">
        <f>IF(AND('Mapa final'!$AB$82="Muy Baja",'Mapa final'!$AD$82="Leve"),CONCATENATE("R26C",'Mapa final'!$R$82),"")</f>
        <v/>
      </c>
      <c r="K231" s="53" t="str">
        <f>IF(AND('Mapa final'!$AB$83="Muy Baja",'Mapa final'!$AD$83="Leve"),CONCATENATE("R26C",'Mapa final'!$R$83),"")</f>
        <v/>
      </c>
      <c r="L231" s="113" t="str">
        <f>IF(AND('Mapa final'!$AB$84="Muy Baja",'Mapa final'!$AD$84="Leve"),CONCATENATE("R26C",'Mapa final'!$R$84),"")</f>
        <v/>
      </c>
      <c r="M231" s="112" t="str">
        <f>IF(AND('Mapa final'!$AB$82="Muy Baja",'Mapa final'!$AD$82="Menor"),CONCATENATE("R26C",'Mapa final'!$R$82),"")</f>
        <v/>
      </c>
      <c r="N231" s="53" t="str">
        <f>IF(AND('Mapa final'!$AB$83="Muy Baja",'Mapa final'!$AD$83="Menor"),CONCATENATE("R26C",'Mapa final'!$R$83),"")</f>
        <v/>
      </c>
      <c r="O231" s="113" t="str">
        <f>IF(AND('Mapa final'!$AB$84="Muy Baja",'Mapa final'!$AD$84="Menor"),CONCATENATE("R26C",'Mapa final'!$R$84),"")</f>
        <v/>
      </c>
      <c r="P231" s="48" t="str">
        <f>IF(AND('Mapa final'!$AB$82="Muy Baja",'Mapa final'!$AD$82="Moderado"),CONCATENATE("R26C",'Mapa final'!$R$82),"")</f>
        <v>R26C1</v>
      </c>
      <c r="Q231" s="49" t="str">
        <f>IF(AND('Mapa final'!$AB$83="Muy Baja",'Mapa final'!$AD$83="Moderado"),CONCATENATE("R26C",'Mapa final'!$R$83),"")</f>
        <v>R26C2</v>
      </c>
      <c r="R231" s="108" t="str">
        <f>IF(AND('Mapa final'!$AB$84="Muy Baja",'Mapa final'!$AD$84="Moderado"),CONCATENATE("R26C",'Mapa final'!$R$84),"")</f>
        <v>R26C3</v>
      </c>
      <c r="S231" s="102" t="str">
        <f>IF(AND('Mapa final'!$AB$82="Muy Baja",'Mapa final'!$AD$82="Mayor"),CONCATENATE("R26C",'Mapa final'!$R$82),"")</f>
        <v/>
      </c>
      <c r="T231" s="41" t="str">
        <f>IF(AND('Mapa final'!$AB$83="Muy Baja",'Mapa final'!$AD$83="Mayor"),CONCATENATE("R26C",'Mapa final'!$R$83),"")</f>
        <v/>
      </c>
      <c r="U231" s="103" t="str">
        <f>IF(AND('Mapa final'!$AB$84="Muy Baja",'Mapa final'!$AD$84="Mayor"),CONCATENATE("R26C",'Mapa final'!$R$84),"")</f>
        <v/>
      </c>
      <c r="V231" s="42" t="str">
        <f>IF(AND('Mapa final'!$AB$82="Muy Baja",'Mapa final'!$AD$82="Catastrófico"),CONCATENATE("R26C",'Mapa final'!$R$82),"")</f>
        <v/>
      </c>
      <c r="W231" s="43" t="str">
        <f>IF(AND('Mapa final'!$AB$83="Muy Baja",'Mapa final'!$AD$83="Catastrófico"),CONCATENATE("R26C",'Mapa final'!$R$83),"")</f>
        <v/>
      </c>
      <c r="X231" s="97" t="str">
        <f>IF(AND('Mapa final'!$AB$84="Muy Baja",'Mapa final'!$AD$84="Catastrófico"),CONCATENATE("R26C",'Mapa final'!$R$84),"")</f>
        <v/>
      </c>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c r="BI231" s="55"/>
      <c r="BJ231" s="55"/>
      <c r="BK231" s="55"/>
      <c r="BL231" s="55"/>
      <c r="BM231" s="55"/>
    </row>
    <row r="232" spans="1:65" ht="15.75" x14ac:dyDescent="0.25">
      <c r="A232" s="55"/>
      <c r="B232" s="316"/>
      <c r="C232" s="316"/>
      <c r="D232" s="317"/>
      <c r="E232" s="304"/>
      <c r="F232" s="305"/>
      <c r="G232" s="305"/>
      <c r="H232" s="305"/>
      <c r="I232" s="305"/>
      <c r="J232" s="112" t="str">
        <f>IF(AND('Mapa final'!$AB$85="Muy Baja",'Mapa final'!$AD$85="Leve"),CONCATENATE("R27C",'Mapa final'!$R$85),"")</f>
        <v/>
      </c>
      <c r="K232" s="53" t="str">
        <f>IF(AND('Mapa final'!$AB$86="Muy Baja",'Mapa final'!$AD$86="Leve"),CONCATENATE("R27C",'Mapa final'!$R$86),"")</f>
        <v/>
      </c>
      <c r="L232" s="113" t="str">
        <f>IF(AND('Mapa final'!$AB$87="Muy Baja",'Mapa final'!$AD$87="Leve"),CONCATENATE("R27C",'Mapa final'!$R$87),"")</f>
        <v/>
      </c>
      <c r="M232" s="112" t="str">
        <f>IF(AND('Mapa final'!$AB$85="Muy Baja",'Mapa final'!$AD$85="Menor"),CONCATENATE("R27C",'Mapa final'!$R$85),"")</f>
        <v/>
      </c>
      <c r="N232" s="53" t="str">
        <f>IF(AND('Mapa final'!$AB$86="Muy Baja",'Mapa final'!$AD$86="Menor"),CONCATENATE("R27C",'Mapa final'!$R$86),"")</f>
        <v/>
      </c>
      <c r="O232" s="113" t="str">
        <f>IF(AND('Mapa final'!$AB$87="Muy Baja",'Mapa final'!$AD$87="Menor"),CONCATENATE("R27C",'Mapa final'!$R$87),"")</f>
        <v/>
      </c>
      <c r="P232" s="48" t="str">
        <f>IF(AND('Mapa final'!$AB$85="Muy Baja",'Mapa final'!$AD$85="Moderado"),CONCATENATE("R27C",'Mapa final'!$R$85),"")</f>
        <v/>
      </c>
      <c r="Q232" s="49" t="str">
        <f>IF(AND('Mapa final'!$AB$86="Muy Baja",'Mapa final'!$AD$86="Moderado"),CONCATENATE("R27C",'Mapa final'!$R$86),"")</f>
        <v/>
      </c>
      <c r="R232" s="108" t="str">
        <f>IF(AND('Mapa final'!$AB$87="Muy Baja",'Mapa final'!$AD$87="Moderado"),CONCATENATE("R27C",'Mapa final'!$R$87),"")</f>
        <v/>
      </c>
      <c r="S232" s="102" t="str">
        <f>IF(AND('Mapa final'!$AB$85="Muy Baja",'Mapa final'!$AD$85="Mayor"),CONCATENATE("R27C",'Mapa final'!$R$85),"")</f>
        <v/>
      </c>
      <c r="T232" s="41" t="str">
        <f>IF(AND('Mapa final'!$AB$86="Muy Baja",'Mapa final'!$AD$86="Mayor"),CONCATENATE("R27C",'Mapa final'!$R$86),"")</f>
        <v/>
      </c>
      <c r="U232" s="103" t="str">
        <f>IF(AND('Mapa final'!$AB$87="Muy Baja",'Mapa final'!$AD$87="Mayor"),CONCATENATE("R27C",'Mapa final'!$R$87),"")</f>
        <v/>
      </c>
      <c r="V232" s="42" t="str">
        <f>IF(AND('Mapa final'!$AB$85="Muy Baja",'Mapa final'!$AD$85="Catastrófico"),CONCATENATE("R27C",'Mapa final'!$R$85),"")</f>
        <v/>
      </c>
      <c r="W232" s="43" t="str">
        <f>IF(AND('Mapa final'!$AB$86="Muy Baja",'Mapa final'!$AD$86="Catastrófico"),CONCATENATE("R27C",'Mapa final'!$R$86),"")</f>
        <v/>
      </c>
      <c r="X232" s="97" t="str">
        <f>IF(AND('Mapa final'!$AB$87="Muy Baja",'Mapa final'!$AD$87="Catastrófico"),CONCATENATE("R27C",'Mapa final'!$R$87),"")</f>
        <v/>
      </c>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c r="BI232" s="55"/>
      <c r="BJ232" s="55"/>
      <c r="BK232" s="55"/>
      <c r="BL232" s="55"/>
      <c r="BM232" s="55"/>
    </row>
    <row r="233" spans="1:65" ht="15.75" x14ac:dyDescent="0.25">
      <c r="A233" s="55"/>
      <c r="B233" s="316"/>
      <c r="C233" s="316"/>
      <c r="D233" s="317"/>
      <c r="E233" s="304"/>
      <c r="F233" s="305"/>
      <c r="G233" s="305"/>
      <c r="H233" s="305"/>
      <c r="I233" s="305"/>
      <c r="J233" s="112" t="str">
        <f>IF(AND('Mapa final'!$AB$88="Muy Baja",'Mapa final'!$AD$88="Leve"),CONCATENATE("R28C",'Mapa final'!$R$88),"")</f>
        <v/>
      </c>
      <c r="K233" s="53" t="str">
        <f>IF(AND('Mapa final'!$AB$89="Muy Baja",'Mapa final'!$AD$89="Leve"),CONCATENATE("R28C",'Mapa final'!$R$89),"")</f>
        <v/>
      </c>
      <c r="L233" s="113" t="str">
        <f>IF(AND('Mapa final'!$AB$90="Muy Baja",'Mapa final'!$AD$90="Leve"),CONCATENATE("R28C",'Mapa final'!$R$90),"")</f>
        <v/>
      </c>
      <c r="M233" s="112" t="str">
        <f>IF(AND('Mapa final'!$AB$88="Muy Baja",'Mapa final'!$AD$88="Menor"),CONCATENATE("R28C",'Mapa final'!$R$88),"")</f>
        <v/>
      </c>
      <c r="N233" s="53" t="str">
        <f>IF(AND('Mapa final'!$AB$89="Muy Baja",'Mapa final'!$AD$89="Menor"),CONCATENATE("R28C",'Mapa final'!$R$89),"")</f>
        <v/>
      </c>
      <c r="O233" s="113" t="str">
        <f>IF(AND('Mapa final'!$AB$90="Muy Baja",'Mapa final'!$AD$90="Menor"),CONCATENATE("R28C",'Mapa final'!$R$90),"")</f>
        <v/>
      </c>
      <c r="P233" s="48" t="str">
        <f>IF(AND('Mapa final'!$AB$88="Muy Baja",'Mapa final'!$AD$88="Moderado"),CONCATENATE("R28C",'Mapa final'!$R$88),"")</f>
        <v/>
      </c>
      <c r="Q233" s="49" t="str">
        <f>IF(AND('Mapa final'!$AB$89="Muy Baja",'Mapa final'!$AD$89="Moderado"),CONCATENATE("R28C",'Mapa final'!$R$89),"")</f>
        <v/>
      </c>
      <c r="R233" s="108" t="str">
        <f>IF(AND('Mapa final'!$AB$90="Muy Baja",'Mapa final'!$AD$90="Moderado"),CONCATENATE("R28C",'Mapa final'!$R$90),"")</f>
        <v/>
      </c>
      <c r="S233" s="102" t="str">
        <f>IF(AND('Mapa final'!$AB$88="Muy Baja",'Mapa final'!$AD$88="Mayor"),CONCATENATE("R28C",'Mapa final'!$R$88),"")</f>
        <v/>
      </c>
      <c r="T233" s="41" t="str">
        <f>IF(AND('Mapa final'!$AB$89="Muy Baja",'Mapa final'!$AD$89="Mayor"),CONCATENATE("R28C",'Mapa final'!$R$89),"")</f>
        <v/>
      </c>
      <c r="U233" s="103" t="str">
        <f>IF(AND('Mapa final'!$AB$90="Muy Baja",'Mapa final'!$AD$90="Mayor"),CONCATENATE("R28C",'Mapa final'!$R$90),"")</f>
        <v/>
      </c>
      <c r="V233" s="42" t="str">
        <f>IF(AND('Mapa final'!$AB$88="Muy Baja",'Mapa final'!$AD$88="Catastrófico"),CONCATENATE("R28C",'Mapa final'!$R$88),"")</f>
        <v/>
      </c>
      <c r="W233" s="43" t="str">
        <f>IF(AND('Mapa final'!$AB$89="Muy Baja",'Mapa final'!$AD$89="Catastrófico"),CONCATENATE("R28C",'Mapa final'!$R$89),"")</f>
        <v/>
      </c>
      <c r="X233" s="97" t="str">
        <f>IF(AND('Mapa final'!$AB$90="Muy Baja",'Mapa final'!$AD$90="Catastrófico"),CONCATENATE("R28C",'Mapa final'!$R$90),"")</f>
        <v/>
      </c>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c r="BI233" s="55"/>
      <c r="BJ233" s="55"/>
      <c r="BK233" s="55"/>
      <c r="BL233" s="55"/>
      <c r="BM233" s="55"/>
    </row>
    <row r="234" spans="1:65" ht="15" customHeight="1" x14ac:dyDescent="0.25">
      <c r="A234" s="55"/>
      <c r="B234" s="316"/>
      <c r="C234" s="316"/>
      <c r="D234" s="317"/>
      <c r="E234" s="304"/>
      <c r="F234" s="305"/>
      <c r="G234" s="305"/>
      <c r="H234" s="305"/>
      <c r="I234" s="305"/>
      <c r="J234" s="112" t="str">
        <f>IF(AND('Mapa final'!$AB$91="Muy Baja",'Mapa final'!$AD$91="Leve"),CONCATENATE("R29C",'Mapa final'!$R$91),"")</f>
        <v/>
      </c>
      <c r="K234" s="53" t="str">
        <f>IF(AND('Mapa final'!$AB$92="Muy Baja",'Mapa final'!$AD$92="Leve"),CONCATENATE("R29C",'Mapa final'!$R$92),"")</f>
        <v/>
      </c>
      <c r="L234" s="113" t="str">
        <f>IF(AND('Mapa final'!$AB$93="Muy Baja",'Mapa final'!$AD$93="Leve"),CONCATENATE("R29C",'Mapa final'!$R$93),"")</f>
        <v/>
      </c>
      <c r="M234" s="112" t="str">
        <f>IF(AND('Mapa final'!$AB$91="Muy Baja",'Mapa final'!$AD$91="Menor"),CONCATENATE("R29C",'Mapa final'!$R$91),"")</f>
        <v/>
      </c>
      <c r="N234" s="53" t="str">
        <f>IF(AND('Mapa final'!$AB$92="Muy Baja",'Mapa final'!$AD$92="Menor"),CONCATENATE("R29C",'Mapa final'!$R$92),"")</f>
        <v/>
      </c>
      <c r="O234" s="113" t="str">
        <f>IF(AND('Mapa final'!$AB$93="Muy Baja",'Mapa final'!$AD$93="Menor"),CONCATENATE("R29C",'Mapa final'!$R$93),"")</f>
        <v/>
      </c>
      <c r="P234" s="48" t="str">
        <f>IF(AND('Mapa final'!$AB$91="Muy Baja",'Mapa final'!$AD$91="Moderado"),CONCATENATE("R29C",'Mapa final'!$R$91),"")</f>
        <v/>
      </c>
      <c r="Q234" s="49" t="str">
        <f>IF(AND('Mapa final'!$AB$92="Muy Baja",'Mapa final'!$AD$92="Moderado"),CONCATENATE("R29C",'Mapa final'!$R$92),"")</f>
        <v/>
      </c>
      <c r="R234" s="108" t="str">
        <f>IF(AND('Mapa final'!$AB$93="Muy Baja",'Mapa final'!$AD$93="Moderado"),CONCATENATE("R29C",'Mapa final'!$R$93),"")</f>
        <v/>
      </c>
      <c r="S234" s="102" t="str">
        <f>IF(AND('Mapa final'!$AB$91="Muy Baja",'Mapa final'!$AD$91="Mayor"),CONCATENATE("R29C",'Mapa final'!$R$91),"")</f>
        <v/>
      </c>
      <c r="T234" s="41" t="str">
        <f>IF(AND('Mapa final'!$AB$92="Muy Baja",'Mapa final'!$AD$92="Mayor"),CONCATENATE("R29C",'Mapa final'!$R$92),"")</f>
        <v/>
      </c>
      <c r="U234" s="103" t="str">
        <f>IF(AND('Mapa final'!$AB$93="Muy Baja",'Mapa final'!$AD$93="Mayor"),CONCATENATE("R29C",'Mapa final'!$R$93),"")</f>
        <v/>
      </c>
      <c r="V234" s="42" t="str">
        <f>IF(AND('Mapa final'!$AB$91="Muy Baja",'Mapa final'!$AD$91="Catastrófico"),CONCATENATE("R29C",'Mapa final'!$R$91),"")</f>
        <v/>
      </c>
      <c r="W234" s="43" t="str">
        <f>IF(AND('Mapa final'!$AB$92="Muy Baja",'Mapa final'!$AD$92="Catastrófico"),CONCATENATE("R29C",'Mapa final'!$R$92),"")</f>
        <v/>
      </c>
      <c r="X234" s="97" t="str">
        <f>IF(AND('Mapa final'!$AB$93="Muy Baja",'Mapa final'!$AD$93="Catastrófico"),CONCATENATE("R29C",'Mapa final'!$R$93),"")</f>
        <v/>
      </c>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c r="BI234" s="55"/>
      <c r="BJ234" s="55"/>
      <c r="BK234" s="55"/>
      <c r="BL234" s="55"/>
      <c r="BM234" s="55"/>
    </row>
    <row r="235" spans="1:65" ht="15" customHeight="1" x14ac:dyDescent="0.25">
      <c r="A235" s="55"/>
      <c r="B235" s="316"/>
      <c r="C235" s="316"/>
      <c r="D235" s="317"/>
      <c r="E235" s="306"/>
      <c r="F235" s="305"/>
      <c r="G235" s="305"/>
      <c r="H235" s="305"/>
      <c r="I235" s="305"/>
      <c r="J235" s="112" t="str">
        <f>IF(AND('Mapa final'!$AB$94="Muy Baja",'Mapa final'!$AD$94="Leve"),CONCATENATE("R30C",'Mapa final'!$R$94),"")</f>
        <v/>
      </c>
      <c r="K235" s="53" t="str">
        <f>IF(AND('Mapa final'!$AB$95="Muy Baja",'Mapa final'!$AD$95="Leve"),CONCATENATE("R30C",'Mapa final'!$R$95),"")</f>
        <v/>
      </c>
      <c r="L235" s="113" t="str">
        <f>IF(AND('Mapa final'!$AB$96="Muy Baja",'Mapa final'!$AD$96="Leve"),CONCATENATE("R30C",'Mapa final'!$R$96),"")</f>
        <v/>
      </c>
      <c r="M235" s="112" t="str">
        <f>IF(AND('Mapa final'!$AB$94="Muy Baja",'Mapa final'!$AD$94="Menor"),CONCATENATE("R30C",'Mapa final'!$R$94),"")</f>
        <v/>
      </c>
      <c r="N235" s="53" t="str">
        <f>IF(AND('Mapa final'!$AB$95="Muy Baja",'Mapa final'!$AD$95="Menor"),CONCATENATE("R30C",'Mapa final'!$R$95),"")</f>
        <v/>
      </c>
      <c r="O235" s="113" t="str">
        <f>IF(AND('Mapa final'!$AB$96="Muy Baja",'Mapa final'!$AD$96="Menor"),CONCATENATE("R30C",'Mapa final'!$R$96),"")</f>
        <v/>
      </c>
      <c r="P235" s="48" t="str">
        <f>IF(AND('Mapa final'!$AB$94="Muy Baja",'Mapa final'!$AD$94="Moderado"),CONCATENATE("R30C",'Mapa final'!$R$94),"")</f>
        <v/>
      </c>
      <c r="Q235" s="49" t="str">
        <f>IF(AND('Mapa final'!$AB$95="Muy Baja",'Mapa final'!$AD$95="Moderado"),CONCATENATE("R30C",'Mapa final'!$R$95),"")</f>
        <v/>
      </c>
      <c r="R235" s="108" t="str">
        <f>IF(AND('Mapa final'!$AB$96="Muy Baja",'Mapa final'!$AD$96="Moderado"),CONCATENATE("R30C",'Mapa final'!$R$96),"")</f>
        <v/>
      </c>
      <c r="S235" s="102" t="str">
        <f>IF(AND('Mapa final'!$AB$94="Muy Baja",'Mapa final'!$AD$94="Mayor"),CONCATENATE("R30C",'Mapa final'!$R$94),"")</f>
        <v/>
      </c>
      <c r="T235" s="41" t="str">
        <f>IF(AND('Mapa final'!$AB$95="Muy Baja",'Mapa final'!$AD$95="Mayor"),CONCATENATE("R30C",'Mapa final'!$R$95),"")</f>
        <v/>
      </c>
      <c r="U235" s="103" t="str">
        <f>IF(AND('Mapa final'!$AB$96="Muy Baja",'Mapa final'!$AD$96="Mayor"),CONCATENATE("R30C",'Mapa final'!$R$96),"")</f>
        <v/>
      </c>
      <c r="V235" s="42" t="str">
        <f>IF(AND('Mapa final'!$AB$94="Muy Baja",'Mapa final'!$AD$94="Catastrófico"),CONCATENATE("R30C",'Mapa final'!$R$94),"")</f>
        <v/>
      </c>
      <c r="W235" s="43" t="str">
        <f>IF(AND('Mapa final'!$AB$95="Muy Baja",'Mapa final'!$AD$95="Catastrófico"),CONCATENATE("R30C",'Mapa final'!$R$95),"")</f>
        <v/>
      </c>
      <c r="X235" s="97" t="str">
        <f>IF(AND('Mapa final'!$AB$96="Muy Baja",'Mapa final'!$AD$96="Catastrófico"),CONCATENATE("R30C",'Mapa final'!$R$96),"")</f>
        <v/>
      </c>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c r="BI235" s="55"/>
      <c r="BJ235" s="55"/>
      <c r="BK235" s="55"/>
      <c r="BL235" s="55"/>
      <c r="BM235" s="55"/>
    </row>
    <row r="236" spans="1:65" ht="15" customHeight="1" x14ac:dyDescent="0.25">
      <c r="A236" s="55"/>
      <c r="B236" s="316"/>
      <c r="C236" s="316"/>
      <c r="D236" s="317"/>
      <c r="E236" s="306"/>
      <c r="F236" s="305"/>
      <c r="G236" s="305"/>
      <c r="H236" s="305"/>
      <c r="I236" s="305"/>
      <c r="J236" s="112" t="str">
        <f>IF(AND('Mapa final'!$AB$97="Muy Baja",'Mapa final'!$AD$97="Leve"),CONCATENATE("R31C",'Mapa final'!$R$97),"")</f>
        <v/>
      </c>
      <c r="K236" s="53" t="str">
        <f>IF(AND('Mapa final'!$AB$98="Muy Baja",'Mapa final'!$AD$98="Leve"),CONCATENATE("R31C",'Mapa final'!$R$98),"")</f>
        <v/>
      </c>
      <c r="L236" s="113" t="str">
        <f>IF(AND('Mapa final'!$AB$99="Muy Baja",'Mapa final'!$AD$99="Leve"),CONCATENATE("R31C",'Mapa final'!$R$99),"")</f>
        <v/>
      </c>
      <c r="M236" s="112" t="str">
        <f>IF(AND('Mapa final'!$AB$97="Muy Baja",'Mapa final'!$AD$97="Menor"),CONCATENATE("R31C",'Mapa final'!$R$97),"")</f>
        <v/>
      </c>
      <c r="N236" s="53" t="str">
        <f>IF(AND('Mapa final'!$AB$98="Muy Baja",'Mapa final'!$AD$98="Menor"),CONCATENATE("R31C",'Mapa final'!$R$98),"")</f>
        <v/>
      </c>
      <c r="O236" s="113" t="str">
        <f>IF(AND('Mapa final'!$AB$99="Muy Baja",'Mapa final'!$AD$99="Menor"),CONCATENATE("R31C",'Mapa final'!$R$99),"")</f>
        <v/>
      </c>
      <c r="P236" s="48" t="str">
        <f>IF(AND('Mapa final'!$AB$97="Muy Baja",'Mapa final'!$AD$97="Moderado"),CONCATENATE("R31C",'Mapa final'!$R$97),"")</f>
        <v/>
      </c>
      <c r="Q236" s="49" t="str">
        <f>IF(AND('Mapa final'!$AB$98="Muy Baja",'Mapa final'!$AD$98="Moderado"),CONCATENATE("R31C",'Mapa final'!$R$98),"")</f>
        <v/>
      </c>
      <c r="R236" s="108" t="str">
        <f>IF(AND('Mapa final'!$AB$99="Muy Baja",'Mapa final'!$AD$99="Moderado"),CONCATENATE("R31C",'Mapa final'!$R$99),"")</f>
        <v/>
      </c>
      <c r="S236" s="102" t="str">
        <f>IF(AND('Mapa final'!$AB$97="Muy Baja",'Mapa final'!$AD$97="Mayor"),CONCATENATE("R31C",'Mapa final'!$R$97),"")</f>
        <v/>
      </c>
      <c r="T236" s="41" t="str">
        <f>IF(AND('Mapa final'!$AB$98="Muy Baja",'Mapa final'!$AD$98="Mayor"),CONCATENATE("R31C",'Mapa final'!$R$98),"")</f>
        <v/>
      </c>
      <c r="U236" s="103" t="str">
        <f>IF(AND('Mapa final'!$AB$99="Muy Baja",'Mapa final'!$AD$99="Mayor"),CONCATENATE("R31C",'Mapa final'!$R$99),"")</f>
        <v/>
      </c>
      <c r="V236" s="42" t="str">
        <f>IF(AND('Mapa final'!$AB$97="Muy Baja",'Mapa final'!$AD$97="Catastrófico"),CONCATENATE("R31C",'Mapa final'!$R$97),"")</f>
        <v/>
      </c>
      <c r="W236" s="43" t="str">
        <f>IF(AND('Mapa final'!$AB$98="Muy Baja",'Mapa final'!$AD$98="Catastrófico"),CONCATENATE("R31C",'Mapa final'!$R$98),"")</f>
        <v/>
      </c>
      <c r="X236" s="97" t="str">
        <f>IF(AND('Mapa final'!$AB$99="Muy Baja",'Mapa final'!$AD$99="Catastrófico"),CONCATENATE("R31C",'Mapa final'!$R$99),"")</f>
        <v/>
      </c>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c r="BI236" s="55"/>
      <c r="BJ236" s="55"/>
      <c r="BK236" s="55"/>
      <c r="BL236" s="55"/>
      <c r="BM236" s="55"/>
    </row>
    <row r="237" spans="1:65" ht="15" customHeight="1" x14ac:dyDescent="0.25">
      <c r="A237" s="55"/>
      <c r="B237" s="316"/>
      <c r="C237" s="316"/>
      <c r="D237" s="317"/>
      <c r="E237" s="306"/>
      <c r="F237" s="305"/>
      <c r="G237" s="305"/>
      <c r="H237" s="305"/>
      <c r="I237" s="305"/>
      <c r="J237" s="112" t="e">
        <f>IF(AND('Mapa final'!#REF!="Muy Baja",'Mapa final'!#REF!="Leve"),CONCATENATE("R32C",'Mapa final'!#REF!),"")</f>
        <v>#REF!</v>
      </c>
      <c r="K237" s="53" t="e">
        <f>IF(AND('Mapa final'!#REF!="Muy Baja",'Mapa final'!#REF!="Leve"),CONCATENATE("R32C",'Mapa final'!#REF!),"")</f>
        <v>#REF!</v>
      </c>
      <c r="L237" s="113" t="e">
        <f>IF(AND('Mapa final'!#REF!="Muy Baja",'Mapa final'!#REF!="Leve"),CONCATENATE("R32C",'Mapa final'!#REF!),"")</f>
        <v>#REF!</v>
      </c>
      <c r="M237" s="112" t="e">
        <f>IF(AND('Mapa final'!#REF!="Muy Baja",'Mapa final'!#REF!="Menor"),CONCATENATE("R32C",'Mapa final'!#REF!),"")</f>
        <v>#REF!</v>
      </c>
      <c r="N237" s="53" t="e">
        <f>IF(AND('Mapa final'!#REF!="Muy Baja",'Mapa final'!#REF!="Menor"),CONCATENATE("R32C",'Mapa final'!#REF!),"")</f>
        <v>#REF!</v>
      </c>
      <c r="O237" s="113" t="e">
        <f>IF(AND('Mapa final'!#REF!="Muy Baja",'Mapa final'!#REF!="Menor"),CONCATENATE("R32C",'Mapa final'!#REF!),"")</f>
        <v>#REF!</v>
      </c>
      <c r="P237" s="48" t="e">
        <f>IF(AND('Mapa final'!#REF!="Muy Baja",'Mapa final'!#REF!="Moderado"),CONCATENATE("R32C",'Mapa final'!#REF!),"")</f>
        <v>#REF!</v>
      </c>
      <c r="Q237" s="49" t="e">
        <f>IF(AND('Mapa final'!#REF!="Muy Baja",'Mapa final'!#REF!="Moderado"),CONCATENATE("R32C",'Mapa final'!#REF!),"")</f>
        <v>#REF!</v>
      </c>
      <c r="R237" s="108" t="e">
        <f>IF(AND('Mapa final'!#REF!="Muy Baja",'Mapa final'!#REF!="Moderado"),CONCATENATE("R32C",'Mapa final'!#REF!),"")</f>
        <v>#REF!</v>
      </c>
      <c r="S237" s="102" t="e">
        <f>IF(AND('Mapa final'!#REF!="Muy Baja",'Mapa final'!#REF!="Mayor"),CONCATENATE("R32C",'Mapa final'!#REF!),"")</f>
        <v>#REF!</v>
      </c>
      <c r="T237" s="41" t="e">
        <f>IF(AND('Mapa final'!#REF!="Muy Baja",'Mapa final'!#REF!="Mayor"),CONCATENATE("R32C",'Mapa final'!#REF!),"")</f>
        <v>#REF!</v>
      </c>
      <c r="U237" s="103" t="e">
        <f>IF(AND('Mapa final'!#REF!="Muy Baja",'Mapa final'!#REF!="Mayor"),CONCATENATE("R32C",'Mapa final'!#REF!),"")</f>
        <v>#REF!</v>
      </c>
      <c r="V237" s="42" t="e">
        <f>IF(AND('Mapa final'!#REF!="Muy Baja",'Mapa final'!#REF!="Catastrófico"),CONCATENATE("R32C",'Mapa final'!#REF!),"")</f>
        <v>#REF!</v>
      </c>
      <c r="W237" s="43" t="e">
        <f>IF(AND('Mapa final'!#REF!="Muy Baja",'Mapa final'!#REF!="Catastrófico"),CONCATENATE("R32C",'Mapa final'!#REF!),"")</f>
        <v>#REF!</v>
      </c>
      <c r="X237" s="97" t="e">
        <f>IF(AND('Mapa final'!#REF!="Muy Baja",'Mapa final'!#REF!="Catastrófico"),CONCATENATE("R32C",'Mapa final'!#REF!),"")</f>
        <v>#REF!</v>
      </c>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c r="BI237" s="55"/>
      <c r="BJ237" s="55"/>
      <c r="BK237" s="55"/>
      <c r="BL237" s="55"/>
      <c r="BM237" s="55"/>
    </row>
    <row r="238" spans="1:65" ht="15" customHeight="1" x14ac:dyDescent="0.25">
      <c r="A238" s="55"/>
      <c r="B238" s="316"/>
      <c r="C238" s="316"/>
      <c r="D238" s="317"/>
      <c r="E238" s="306"/>
      <c r="F238" s="305"/>
      <c r="G238" s="305"/>
      <c r="H238" s="305"/>
      <c r="I238" s="305"/>
      <c r="J238" s="112" t="str">
        <f>IF(AND('Mapa final'!$AB$100="Muy Baja",'Mapa final'!$AD$100="Leve"),CONCATENATE("R33C",'Mapa final'!$R$100),"")</f>
        <v/>
      </c>
      <c r="K238" s="53" t="str">
        <f>IF(AND('Mapa final'!$AB$101="Muy Baja",'Mapa final'!$AD$101="Leve"),CONCATENATE("R33C",'Mapa final'!$R$101),"")</f>
        <v/>
      </c>
      <c r="L238" s="113" t="str">
        <f>IF(AND('Mapa final'!$AB$102="Muy Baja",'Mapa final'!$AD$102="Leve"),CONCATENATE("R33C",'Mapa final'!$R$102),"")</f>
        <v/>
      </c>
      <c r="M238" s="112" t="str">
        <f>IF(AND('Mapa final'!$AB$100="Muy Baja",'Mapa final'!$AD$100="Menor"),CONCATENATE("R33C",'Mapa final'!$R$100),"")</f>
        <v/>
      </c>
      <c r="N238" s="53" t="str">
        <f>IF(AND('Mapa final'!$AB$101="Muy Baja",'Mapa final'!$AD$101="Menor"),CONCATENATE("R33C",'Mapa final'!$R$101),"")</f>
        <v/>
      </c>
      <c r="O238" s="113" t="str">
        <f>IF(AND('Mapa final'!$AB$102="Muy Baja",'Mapa final'!$AD$102="Menor"),CONCATENATE("R33C",'Mapa final'!$R$102),"")</f>
        <v/>
      </c>
      <c r="P238" s="48" t="str">
        <f>IF(AND('Mapa final'!$AB$100="Muy Baja",'Mapa final'!$AD$100="Moderado"),CONCATENATE("R33C",'Mapa final'!$R$100),"")</f>
        <v/>
      </c>
      <c r="Q238" s="49" t="str">
        <f>IF(AND('Mapa final'!$AB$101="Muy Baja",'Mapa final'!$AD$101="Moderado"),CONCATENATE("R33C",'Mapa final'!$R$101),"")</f>
        <v/>
      </c>
      <c r="R238" s="108" t="str">
        <f>IF(AND('Mapa final'!$AB$102="Muy Baja",'Mapa final'!$AD$102="Moderado"),CONCATENATE("R33C",'Mapa final'!$R$102),"")</f>
        <v/>
      </c>
      <c r="S238" s="102" t="str">
        <f>IF(AND('Mapa final'!$AB$100="Muy Baja",'Mapa final'!$AD$100="Mayor"),CONCATENATE("R33C",'Mapa final'!$R$100),"")</f>
        <v/>
      </c>
      <c r="T238" s="41" t="str">
        <f>IF(AND('Mapa final'!$AB$101="Muy Baja",'Mapa final'!$AD$101="Mayor"),CONCATENATE("R33C",'Mapa final'!$R$101),"")</f>
        <v/>
      </c>
      <c r="U238" s="103" t="str">
        <f>IF(AND('Mapa final'!$AB$102="Muy Baja",'Mapa final'!$AD$102="Mayor"),CONCATENATE("R33C",'Mapa final'!$R$102),"")</f>
        <v/>
      </c>
      <c r="V238" s="42" t="str">
        <f>IF(AND('Mapa final'!$AB$100="Muy Baja",'Mapa final'!$AD$100="Catastrófico"),CONCATENATE("R33C",'Mapa final'!$R$100),"")</f>
        <v/>
      </c>
      <c r="W238" s="43" t="str">
        <f>IF(AND('Mapa final'!$AB$101="Muy Baja",'Mapa final'!$AD$101="Catastrófico"),CONCATENATE("R33C",'Mapa final'!$R$101),"")</f>
        <v/>
      </c>
      <c r="X238" s="97" t="str">
        <f>IF(AND('Mapa final'!$AB$102="Muy Baja",'Mapa final'!$AD$102="Catastrófico"),CONCATENATE("R33C",'Mapa final'!$R$102),"")</f>
        <v/>
      </c>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c r="BI238" s="55"/>
      <c r="BJ238" s="55"/>
      <c r="BK238" s="55"/>
      <c r="BL238" s="55"/>
      <c r="BM238" s="55"/>
    </row>
    <row r="239" spans="1:65" ht="15" customHeight="1" x14ac:dyDescent="0.25">
      <c r="A239" s="55"/>
      <c r="B239" s="316"/>
      <c r="C239" s="316"/>
      <c r="D239" s="317"/>
      <c r="E239" s="306"/>
      <c r="F239" s="305"/>
      <c r="G239" s="305"/>
      <c r="H239" s="305"/>
      <c r="I239" s="305"/>
      <c r="J239" s="112" t="str">
        <f>IF(AND('Mapa final'!$AB$103="Muy Baja",'Mapa final'!$AD$103="Leve"),CONCATENATE("R34C",'Mapa final'!$R$103),"")</f>
        <v/>
      </c>
      <c r="K239" s="53" t="str">
        <f>IF(AND('Mapa final'!$AB$104="Muy Baja",'Mapa final'!$AD$104="Leve"),CONCATENATE("R34C",'Mapa final'!$R$104),"")</f>
        <v/>
      </c>
      <c r="L239" s="113" t="str">
        <f>IF(AND('Mapa final'!$AB$105="Muy Baja",'Mapa final'!$AD$105="Leve"),CONCATENATE("R34C",'Mapa final'!$R$105),"")</f>
        <v/>
      </c>
      <c r="M239" s="112" t="str">
        <f>IF(AND('Mapa final'!$AB$103="Muy Baja",'Mapa final'!$AD$103="Menor"),CONCATENATE("R34C",'Mapa final'!$R$103),"")</f>
        <v/>
      </c>
      <c r="N239" s="53" t="str">
        <f>IF(AND('Mapa final'!$AB$104="Muy Baja",'Mapa final'!$AD$104="Menor"),CONCATENATE("R34C",'Mapa final'!$R$104),"")</f>
        <v/>
      </c>
      <c r="O239" s="113" t="str">
        <f>IF(AND('Mapa final'!$AB$105="Muy Baja",'Mapa final'!$AD$105="Menor"),CONCATENATE("R34C",'Mapa final'!$R$105),"")</f>
        <v/>
      </c>
      <c r="P239" s="48" t="str">
        <f>IF(AND('Mapa final'!$AB$103="Muy Baja",'Mapa final'!$AD$103="Moderado"),CONCATENATE("R34C",'Mapa final'!$R$103),"")</f>
        <v/>
      </c>
      <c r="Q239" s="49" t="str">
        <f>IF(AND('Mapa final'!$AB$104="Muy Baja",'Mapa final'!$AD$104="Moderado"),CONCATENATE("R34C",'Mapa final'!$R$104),"")</f>
        <v/>
      </c>
      <c r="R239" s="108" t="str">
        <f>IF(AND('Mapa final'!$AB$105="Muy Baja",'Mapa final'!$AD$105="Moderado"),CONCATENATE("R34C",'Mapa final'!$R$105),"")</f>
        <v/>
      </c>
      <c r="S239" s="102" t="str">
        <f>IF(AND('Mapa final'!$AB$103="Muy Baja",'Mapa final'!$AD$103="Mayor"),CONCATENATE("R34C",'Mapa final'!$R$103),"")</f>
        <v/>
      </c>
      <c r="T239" s="41" t="str">
        <f>IF(AND('Mapa final'!$AB$104="Muy Baja",'Mapa final'!$AD$104="Mayor"),CONCATENATE("R34C",'Mapa final'!$R$104),"")</f>
        <v/>
      </c>
      <c r="U239" s="103" t="str">
        <f>IF(AND('Mapa final'!$AB$105="Muy Baja",'Mapa final'!$AD$105="Mayor"),CONCATENATE("R34C",'Mapa final'!$R$105),"")</f>
        <v/>
      </c>
      <c r="V239" s="42" t="str">
        <f>IF(AND('Mapa final'!$AB$103="Muy Baja",'Mapa final'!$AD$103="Catastrófico"),CONCATENATE("R34C",'Mapa final'!$R$103),"")</f>
        <v/>
      </c>
      <c r="W239" s="43" t="str">
        <f>IF(AND('Mapa final'!$AB$104="Muy Baja",'Mapa final'!$AD$104="Catastrófico"),CONCATENATE("R34C",'Mapa final'!$R$104),"")</f>
        <v/>
      </c>
      <c r="X239" s="97" t="str">
        <f>IF(AND('Mapa final'!$AB$105="Muy Baja",'Mapa final'!$AD$105="Catastrófico"),CONCATENATE("R34C",'Mapa final'!$R$105),"")</f>
        <v/>
      </c>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c r="BI239" s="55"/>
      <c r="BJ239" s="55"/>
      <c r="BK239" s="55"/>
      <c r="BL239" s="55"/>
      <c r="BM239" s="55"/>
    </row>
    <row r="240" spans="1:65" ht="15" customHeight="1" x14ac:dyDescent="0.25">
      <c r="A240" s="55"/>
      <c r="B240" s="316"/>
      <c r="C240" s="316"/>
      <c r="D240" s="317"/>
      <c r="E240" s="306"/>
      <c r="F240" s="305"/>
      <c r="G240" s="305"/>
      <c r="H240" s="305"/>
      <c r="I240" s="305"/>
      <c r="J240" s="112" t="str">
        <f>IF(AND('Mapa final'!$AB$106="Muy Baja",'Mapa final'!$AD$106="Leve"),CONCATENATE("R35C",'Mapa final'!$R$106),"")</f>
        <v/>
      </c>
      <c r="K240" s="53" t="str">
        <f>IF(AND('Mapa final'!$AB$107="Muy Baja",'Mapa final'!$AD$107="Leve"),CONCATENATE("R35C",'Mapa final'!$R$107),"")</f>
        <v/>
      </c>
      <c r="L240" s="113" t="str">
        <f>IF(AND('Mapa final'!$AB$108="Muy Baja",'Mapa final'!$AD$108="Leve"),CONCATENATE("R35C",'Mapa final'!$R$108),"")</f>
        <v/>
      </c>
      <c r="M240" s="112" t="str">
        <f>IF(AND('Mapa final'!$AB$106="Muy Baja",'Mapa final'!$AD$106="Menor"),CONCATENATE("R35C",'Mapa final'!$R$106),"")</f>
        <v/>
      </c>
      <c r="N240" s="53" t="str">
        <f>IF(AND('Mapa final'!$AB$107="Muy Baja",'Mapa final'!$AD$107="Menor"),CONCATENATE("R35C",'Mapa final'!$R$107),"")</f>
        <v/>
      </c>
      <c r="O240" s="113" t="str">
        <f>IF(AND('Mapa final'!$AB$108="Muy Baja",'Mapa final'!$AD$108="Menor"),CONCATENATE("R35C",'Mapa final'!$R$108),"")</f>
        <v/>
      </c>
      <c r="P240" s="48" t="str">
        <f>IF(AND('Mapa final'!$AB$106="Muy Baja",'Mapa final'!$AD$106="Moderado"),CONCATENATE("R35C",'Mapa final'!$R$106),"")</f>
        <v/>
      </c>
      <c r="Q240" s="49" t="str">
        <f>IF(AND('Mapa final'!$AB$107="Muy Baja",'Mapa final'!$AD$107="Moderado"),CONCATENATE("R35C",'Mapa final'!$R$107),"")</f>
        <v/>
      </c>
      <c r="R240" s="108" t="str">
        <f>IF(AND('Mapa final'!$AB$108="Muy Baja",'Mapa final'!$AD$108="Moderado"),CONCATENATE("R35C",'Mapa final'!$R$108),"")</f>
        <v/>
      </c>
      <c r="S240" s="102" t="str">
        <f>IF(AND('Mapa final'!$AB$106="Muy Baja",'Mapa final'!$AD$106="Mayor"),CONCATENATE("R35C",'Mapa final'!$R$106),"")</f>
        <v/>
      </c>
      <c r="T240" s="41" t="str">
        <f>IF(AND('Mapa final'!$AB$107="Muy Baja",'Mapa final'!$AD$107="Mayor"),CONCATENATE("R35C",'Mapa final'!$R$107),"")</f>
        <v/>
      </c>
      <c r="U240" s="103" t="str">
        <f>IF(AND('Mapa final'!$AB$108="Muy Baja",'Mapa final'!$AD$108="Mayor"),CONCATENATE("R35C",'Mapa final'!$R$108),"")</f>
        <v/>
      </c>
      <c r="V240" s="42" t="str">
        <f>IF(AND('Mapa final'!$AB$106="Muy Baja",'Mapa final'!$AD$106="Catastrófico"),CONCATENATE("R35C",'Mapa final'!$R$106),"")</f>
        <v/>
      </c>
      <c r="W240" s="43" t="str">
        <f>IF(AND('Mapa final'!$AB$107="Muy Baja",'Mapa final'!$AD$107="Catastrófico"),CONCATENATE("R35C",'Mapa final'!$R$107),"")</f>
        <v/>
      </c>
      <c r="X240" s="97" t="str">
        <f>IF(AND('Mapa final'!$AB$108="Muy Baja",'Mapa final'!$AD$108="Catastrófico"),CONCATENATE("R35C",'Mapa final'!$R$108),"")</f>
        <v/>
      </c>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c r="BI240" s="55"/>
      <c r="BJ240" s="55"/>
      <c r="BK240" s="55"/>
      <c r="BL240" s="55"/>
      <c r="BM240" s="55"/>
    </row>
    <row r="241" spans="1:65" ht="15" customHeight="1" x14ac:dyDescent="0.25">
      <c r="A241" s="55"/>
      <c r="B241" s="316"/>
      <c r="C241" s="316"/>
      <c r="D241" s="317"/>
      <c r="E241" s="306"/>
      <c r="F241" s="305"/>
      <c r="G241" s="305"/>
      <c r="H241" s="305"/>
      <c r="I241" s="305"/>
      <c r="J241" s="112" t="str">
        <f>IF(AND('Mapa final'!$AB$109="Muy Baja",'Mapa final'!$AD$109="Leve"),CONCATENATE("R36C",'Mapa final'!$R$109),"")</f>
        <v/>
      </c>
      <c r="K241" s="53" t="str">
        <f>IF(AND('Mapa final'!$AB$110="Muy Baja",'Mapa final'!$AD$110="Leve"),CONCATENATE("R36C",'Mapa final'!$R$110),"")</f>
        <v/>
      </c>
      <c r="L241" s="113" t="str">
        <f>IF(AND('Mapa final'!$AB$111="Muy Baja",'Mapa final'!$AD$111="Leve"),CONCATENATE("R36C",'Mapa final'!$R$111),"")</f>
        <v/>
      </c>
      <c r="M241" s="112" t="str">
        <f>IF(AND('Mapa final'!$AB$109="Muy Baja",'Mapa final'!$AD$109="Menor"),CONCATENATE("R36C",'Mapa final'!$R$109),"")</f>
        <v/>
      </c>
      <c r="N241" s="53" t="str">
        <f>IF(AND('Mapa final'!$AB$110="Muy Baja",'Mapa final'!$AD$110="Menor"),CONCATENATE("R36C",'Mapa final'!$R$110),"")</f>
        <v/>
      </c>
      <c r="O241" s="113" t="str">
        <f>IF(AND('Mapa final'!$AB$111="Muy Baja",'Mapa final'!$AD$111="Menor"),CONCATENATE("R36C",'Mapa final'!$R$111),"")</f>
        <v/>
      </c>
      <c r="P241" s="48" t="str">
        <f>IF(AND('Mapa final'!$AB$109="Muy Baja",'Mapa final'!$AD$109="Moderado"),CONCATENATE("R36C",'Mapa final'!$R$109),"")</f>
        <v/>
      </c>
      <c r="Q241" s="49" t="str">
        <f>IF(AND('Mapa final'!$AB$110="Muy Baja",'Mapa final'!$AD$110="Moderado"),CONCATENATE("R36C",'Mapa final'!$R$110),"")</f>
        <v/>
      </c>
      <c r="R241" s="108" t="str">
        <f>IF(AND('Mapa final'!$AB$111="Muy Baja",'Mapa final'!$AD$111="Moderado"),CONCATENATE("R36C",'Mapa final'!$R$111),"")</f>
        <v/>
      </c>
      <c r="S241" s="102" t="str">
        <f>IF(AND('Mapa final'!$AB$109="Muy Baja",'Mapa final'!$AD$109="Mayor"),CONCATENATE("R36C",'Mapa final'!$R$109),"")</f>
        <v/>
      </c>
      <c r="T241" s="41" t="str">
        <f>IF(AND('Mapa final'!$AB$110="Muy Baja",'Mapa final'!$AD$110="Mayor"),CONCATENATE("R36C",'Mapa final'!$R$110),"")</f>
        <v/>
      </c>
      <c r="U241" s="103" t="str">
        <f>IF(AND('Mapa final'!$AB$111="Muy Baja",'Mapa final'!$AD$111="Mayor"),CONCATENATE("R36C",'Mapa final'!$R$111),"")</f>
        <v/>
      </c>
      <c r="V241" s="42" t="str">
        <f>IF(AND('Mapa final'!$AB$109="Muy Baja",'Mapa final'!$AD$109="Catastrófico"),CONCATENATE("R36C",'Mapa final'!$R$109),"")</f>
        <v/>
      </c>
      <c r="W241" s="43" t="str">
        <f>IF(AND('Mapa final'!$AB$110="Muy Baja",'Mapa final'!$AD$110="Catastrófico"),CONCATENATE("R36C",'Mapa final'!$R$110),"")</f>
        <v/>
      </c>
      <c r="X241" s="97" t="str">
        <f>IF(AND('Mapa final'!$AB$111="Muy Baja",'Mapa final'!$AD$111="Catastrófico"),CONCATENATE("R36C",'Mapa final'!$R$111),"")</f>
        <v/>
      </c>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c r="BI241" s="55"/>
      <c r="BJ241" s="55"/>
      <c r="BK241" s="55"/>
      <c r="BL241" s="55"/>
      <c r="BM241" s="55"/>
    </row>
    <row r="242" spans="1:65" ht="15" customHeight="1" x14ac:dyDescent="0.25">
      <c r="A242" s="55"/>
      <c r="B242" s="316"/>
      <c r="C242" s="316"/>
      <c r="D242" s="317"/>
      <c r="E242" s="306"/>
      <c r="F242" s="305"/>
      <c r="G242" s="305"/>
      <c r="H242" s="305"/>
      <c r="I242" s="305"/>
      <c r="J242" s="112" t="str">
        <f>IF(AND('Mapa final'!$AB$112="Muy Baja",'Mapa final'!$AD$112="Leve"),CONCATENATE("R37C",'Mapa final'!$R$112),"")</f>
        <v/>
      </c>
      <c r="K242" s="53" t="str">
        <f>IF(AND('Mapa final'!$AB$113="Muy Baja",'Mapa final'!$AD$113="Leve"),CONCATENATE("R37C",'Mapa final'!$R$113),"")</f>
        <v/>
      </c>
      <c r="L242" s="113" t="str">
        <f>IF(AND('Mapa final'!$AB$114="Muy Baja",'Mapa final'!$AD$114="Leve"),CONCATENATE("R37C",'Mapa final'!$R$114),"")</f>
        <v/>
      </c>
      <c r="M242" s="112" t="str">
        <f>IF(AND('Mapa final'!$AB$112="Muy Baja",'Mapa final'!$AD$112="Menor"),CONCATENATE("R37C",'Mapa final'!$R$112),"")</f>
        <v/>
      </c>
      <c r="N242" s="53" t="str">
        <f>IF(AND('Mapa final'!$AB$113="Muy Baja",'Mapa final'!$AD$113="Menor"),CONCATENATE("R37C",'Mapa final'!$R$113),"")</f>
        <v/>
      </c>
      <c r="O242" s="113" t="str">
        <f>IF(AND('Mapa final'!$AB$114="Muy Baja",'Mapa final'!$AD$114="Menor"),CONCATENATE("R37C",'Mapa final'!$R$114),"")</f>
        <v/>
      </c>
      <c r="P242" s="48" t="str">
        <f>IF(AND('Mapa final'!$AB$112="Muy Baja",'Mapa final'!$AD$112="Moderado"),CONCATENATE("R37C",'Mapa final'!$R$112),"")</f>
        <v/>
      </c>
      <c r="Q242" s="49" t="str">
        <f>IF(AND('Mapa final'!$AB$113="Muy Baja",'Mapa final'!$AD$113="Moderado"),CONCATENATE("R37C",'Mapa final'!$R$113),"")</f>
        <v/>
      </c>
      <c r="R242" s="108" t="str">
        <f>IF(AND('Mapa final'!$AB$114="Muy Baja",'Mapa final'!$AD$114="Moderado"),CONCATENATE("R37C",'Mapa final'!$R$114),"")</f>
        <v/>
      </c>
      <c r="S242" s="102" t="str">
        <f>IF(AND('Mapa final'!$AB$112="Muy Baja",'Mapa final'!$AD$112="Mayor"),CONCATENATE("R37C",'Mapa final'!$R$112),"")</f>
        <v/>
      </c>
      <c r="T242" s="41" t="str">
        <f>IF(AND('Mapa final'!$AB$113="Muy Baja",'Mapa final'!$AD$113="Mayor"),CONCATENATE("R37C",'Mapa final'!$R$113),"")</f>
        <v/>
      </c>
      <c r="U242" s="103" t="str">
        <f>IF(AND('Mapa final'!$AB$114="Muy Baja",'Mapa final'!$AD$114="Mayor"),CONCATENATE("R37C",'Mapa final'!$R$114),"")</f>
        <v/>
      </c>
      <c r="V242" s="42" t="str">
        <f>IF(AND('Mapa final'!$AB$112="Muy Baja",'Mapa final'!$AD$112="Catastrófico"),CONCATENATE("R37C",'Mapa final'!$R$112),"")</f>
        <v/>
      </c>
      <c r="W242" s="43" t="str">
        <f>IF(AND('Mapa final'!$AB$113="Muy Baja",'Mapa final'!$AD$113="Catastrófico"),CONCATENATE("R37C",'Mapa final'!$R$113),"")</f>
        <v/>
      </c>
      <c r="X242" s="97" t="str">
        <f>IF(AND('Mapa final'!$AB$114="Muy Baja",'Mapa final'!$AD$114="Catastrófico"),CONCATENATE("R37C",'Mapa final'!$R$114),"")</f>
        <v/>
      </c>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c r="BI242" s="55"/>
      <c r="BJ242" s="55"/>
      <c r="BK242" s="55"/>
      <c r="BL242" s="55"/>
      <c r="BM242" s="55"/>
    </row>
    <row r="243" spans="1:65" ht="15" customHeight="1" x14ac:dyDescent="0.25">
      <c r="A243" s="55"/>
      <c r="B243" s="316"/>
      <c r="C243" s="316"/>
      <c r="D243" s="317"/>
      <c r="E243" s="306"/>
      <c r="F243" s="305"/>
      <c r="G243" s="305"/>
      <c r="H243" s="305"/>
      <c r="I243" s="305"/>
      <c r="J243" s="112" t="str">
        <f>IF(AND('Mapa final'!$AB$115="Muy Baja",'Mapa final'!$AD$115="Leve"),CONCATENATE("R38C",'Mapa final'!$R$115),"")</f>
        <v/>
      </c>
      <c r="K243" s="53" t="str">
        <f>IF(AND('Mapa final'!$AB$116="Muy Baja",'Mapa final'!$AD$116="Leve"),CONCATENATE("R38C",'Mapa final'!$R$116),"")</f>
        <v/>
      </c>
      <c r="L243" s="113" t="str">
        <f>IF(AND('Mapa final'!$AB$117="Muy Baja",'Mapa final'!$AD$117="Leve"),CONCATENATE("R38C",'Mapa final'!$R$117),"")</f>
        <v/>
      </c>
      <c r="M243" s="112" t="str">
        <f>IF(AND('Mapa final'!$AB$115="Muy Baja",'Mapa final'!$AD$115="Menor"),CONCATENATE("R38C",'Mapa final'!$R$115),"")</f>
        <v/>
      </c>
      <c r="N243" s="53" t="str">
        <f>IF(AND('Mapa final'!$AB$116="Muy Baja",'Mapa final'!$AD$116="Menor"),CONCATENATE("R38C",'Mapa final'!$R$116),"")</f>
        <v>R38C2</v>
      </c>
      <c r="O243" s="113" t="str">
        <f>IF(AND('Mapa final'!$AB$117="Muy Baja",'Mapa final'!$AD$117="Menor"),CONCATENATE("R38C",'Mapa final'!$R$117),"")</f>
        <v/>
      </c>
      <c r="P243" s="48" t="str">
        <f>IF(AND('Mapa final'!$AB$115="Muy Baja",'Mapa final'!$AD$115="Moderado"),CONCATENATE("R38C",'Mapa final'!$R$115),"")</f>
        <v/>
      </c>
      <c r="Q243" s="49" t="str">
        <f>IF(AND('Mapa final'!$AB$116="Muy Baja",'Mapa final'!$AD$116="Moderado"),CONCATENATE("R38C",'Mapa final'!$R$116),"")</f>
        <v/>
      </c>
      <c r="R243" s="108" t="str">
        <f>IF(AND('Mapa final'!$AB$117="Muy Baja",'Mapa final'!$AD$117="Moderado"),CONCATENATE("R38C",'Mapa final'!$R$117),"")</f>
        <v/>
      </c>
      <c r="S243" s="102" t="str">
        <f>IF(AND('Mapa final'!$AB$115="Muy Baja",'Mapa final'!$AD$115="Mayor"),CONCATENATE("R38C",'Mapa final'!$R$115),"")</f>
        <v/>
      </c>
      <c r="T243" s="41" t="str">
        <f>IF(AND('Mapa final'!$AB$116="Muy Baja",'Mapa final'!$AD$116="Mayor"),CONCATENATE("R38C",'Mapa final'!$R$116),"")</f>
        <v/>
      </c>
      <c r="U243" s="103" t="str">
        <f>IF(AND('Mapa final'!$AB$117="Muy Baja",'Mapa final'!$AD$117="Mayor"),CONCATENATE("R38C",'Mapa final'!$R$117),"")</f>
        <v/>
      </c>
      <c r="V243" s="42" t="str">
        <f>IF(AND('Mapa final'!$AB$115="Muy Baja",'Mapa final'!$AD$115="Catastrófico"),CONCATENATE("R38C",'Mapa final'!$R$115),"")</f>
        <v/>
      </c>
      <c r="W243" s="43" t="str">
        <f>IF(AND('Mapa final'!$AB$116="Muy Baja",'Mapa final'!$AD$116="Catastrófico"),CONCATENATE("R38C",'Mapa final'!$R$116),"")</f>
        <v/>
      </c>
      <c r="X243" s="97" t="str">
        <f>IF(AND('Mapa final'!$AB$117="Muy Baja",'Mapa final'!$AD$117="Catastrófico"),CONCATENATE("R38C",'Mapa final'!$R$117),"")</f>
        <v/>
      </c>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c r="BI243" s="55"/>
      <c r="BJ243" s="55"/>
      <c r="BK243" s="55"/>
      <c r="BL243" s="55"/>
      <c r="BM243" s="55"/>
    </row>
    <row r="244" spans="1:65" ht="15" customHeight="1" x14ac:dyDescent="0.25">
      <c r="A244" s="55"/>
      <c r="B244" s="316"/>
      <c r="C244" s="316"/>
      <c r="D244" s="317"/>
      <c r="E244" s="306"/>
      <c r="F244" s="305"/>
      <c r="G244" s="305"/>
      <c r="H244" s="305"/>
      <c r="I244" s="305"/>
      <c r="J244" s="112" t="str">
        <f>IF(AND('Mapa final'!$AB$118="Muy Baja",'Mapa final'!$AD$118="Leve"),CONCATENATE("R39C",'Mapa final'!$R$118),"")</f>
        <v/>
      </c>
      <c r="K244" s="53" t="str">
        <f>IF(AND('Mapa final'!$AB$119="Muy Baja",'Mapa final'!$AD$119="Leve"),CONCATENATE("R39C",'Mapa final'!$R$119),"")</f>
        <v/>
      </c>
      <c r="L244" s="113" t="str">
        <f>IF(AND('Mapa final'!$AB$120="Muy Baja",'Mapa final'!$AD$120="Leve"),CONCATENATE("R39C",'Mapa final'!$R$120),"")</f>
        <v/>
      </c>
      <c r="M244" s="112" t="str">
        <f>IF(AND('Mapa final'!$AB$118="Muy Baja",'Mapa final'!$AD$118="Menor"),CONCATENATE("R39C",'Mapa final'!$R$118),"")</f>
        <v/>
      </c>
      <c r="N244" s="53" t="str">
        <f>IF(AND('Mapa final'!$AB$119="Muy Baja",'Mapa final'!$AD$119="Menor"),CONCATENATE("R39C",'Mapa final'!$R$119),"")</f>
        <v/>
      </c>
      <c r="O244" s="113" t="str">
        <f>IF(AND('Mapa final'!$AB$120="Muy Baja",'Mapa final'!$AD$120="Menor"),CONCATENATE("R39C",'Mapa final'!$R$120),"")</f>
        <v/>
      </c>
      <c r="P244" s="48" t="str">
        <f>IF(AND('Mapa final'!$AB$118="Muy Baja",'Mapa final'!$AD$118="Moderado"),CONCATENATE("R39C",'Mapa final'!$R$118),"")</f>
        <v/>
      </c>
      <c r="Q244" s="49" t="str">
        <f>IF(AND('Mapa final'!$AB$119="Muy Baja",'Mapa final'!$AD$119="Moderado"),CONCATENATE("R39C",'Mapa final'!$R$119),"")</f>
        <v/>
      </c>
      <c r="R244" s="108" t="str">
        <f>IF(AND('Mapa final'!$AB$120="Muy Baja",'Mapa final'!$AD$120="Moderado"),CONCATENATE("R39C",'Mapa final'!$R$120),"")</f>
        <v/>
      </c>
      <c r="S244" s="102" t="str">
        <f>IF(AND('Mapa final'!$AB$118="Muy Baja",'Mapa final'!$AD$118="Mayor"),CONCATENATE("R39C",'Mapa final'!$R$118),"")</f>
        <v/>
      </c>
      <c r="T244" s="41" t="str">
        <f>IF(AND('Mapa final'!$AB$119="Muy Baja",'Mapa final'!$AD$119="Mayor"),CONCATENATE("R39C",'Mapa final'!$R$119),"")</f>
        <v/>
      </c>
      <c r="U244" s="103" t="str">
        <f>IF(AND('Mapa final'!$AB$120="Muy Baja",'Mapa final'!$AD$120="Mayor"),CONCATENATE("R39C",'Mapa final'!$R$120),"")</f>
        <v/>
      </c>
      <c r="V244" s="42" t="str">
        <f>IF(AND('Mapa final'!$AB$118="Muy Baja",'Mapa final'!$AD$118="Catastrófico"),CONCATENATE("R39C",'Mapa final'!$R$118),"")</f>
        <v/>
      </c>
      <c r="W244" s="43" t="str">
        <f>IF(AND('Mapa final'!$AB$119="Muy Baja",'Mapa final'!$AD$119="Catastrófico"),CONCATENATE("R39C",'Mapa final'!$R$119),"")</f>
        <v/>
      </c>
      <c r="X244" s="97" t="str">
        <f>IF(AND('Mapa final'!$AB$120="Muy Baja",'Mapa final'!$AD$120="Catastrófico"),CONCATENATE("R39C",'Mapa final'!$R$120),"")</f>
        <v/>
      </c>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c r="BI244" s="55"/>
      <c r="BJ244" s="55"/>
      <c r="BK244" s="55"/>
      <c r="BL244" s="55"/>
      <c r="BM244" s="55"/>
    </row>
    <row r="245" spans="1:65" ht="15" customHeight="1" x14ac:dyDescent="0.25">
      <c r="A245" s="55"/>
      <c r="B245" s="316"/>
      <c r="C245" s="316"/>
      <c r="D245" s="317"/>
      <c r="E245" s="306"/>
      <c r="F245" s="305"/>
      <c r="G245" s="305"/>
      <c r="H245" s="305"/>
      <c r="I245" s="305"/>
      <c r="J245" s="112" t="str">
        <f>IF(AND('Mapa final'!$AB$121="Muy Baja",'Mapa final'!$AD$121="Leve"),CONCATENATE("R40C",'Mapa final'!$R$121),"")</f>
        <v/>
      </c>
      <c r="K245" s="53" t="str">
        <f>IF(AND('Mapa final'!$AB$122="Muy Baja",'Mapa final'!$AD$122="Leve"),CONCATENATE("R40C",'Mapa final'!$R$122),"")</f>
        <v/>
      </c>
      <c r="L245" s="113" t="str">
        <f>IF(AND('Mapa final'!$AB$123="Muy Baja",'Mapa final'!$AD$123="Leve"),CONCATENATE("R40C",'Mapa final'!$R$123),"")</f>
        <v/>
      </c>
      <c r="M245" s="112" t="str">
        <f>IF(AND('Mapa final'!$AB$121="Muy Baja",'Mapa final'!$AD$121="Menor"),CONCATENATE("R40C",'Mapa final'!$R$121),"")</f>
        <v/>
      </c>
      <c r="N245" s="53" t="str">
        <f>IF(AND('Mapa final'!$AB$122="Muy Baja",'Mapa final'!$AD$122="Menor"),CONCATENATE("R40C",'Mapa final'!$R$122),"")</f>
        <v/>
      </c>
      <c r="O245" s="113" t="str">
        <f>IF(AND('Mapa final'!$AB$123="Muy Baja",'Mapa final'!$AD$123="Menor"),CONCATENATE("R40C",'Mapa final'!$R$123),"")</f>
        <v/>
      </c>
      <c r="P245" s="48" t="str">
        <f>IF(AND('Mapa final'!$AB$121="Muy Baja",'Mapa final'!$AD$121="Moderado"),CONCATENATE("R40C",'Mapa final'!$R$121),"")</f>
        <v/>
      </c>
      <c r="Q245" s="49" t="str">
        <f>IF(AND('Mapa final'!$AB$122="Muy Baja",'Mapa final'!$AD$122="Moderado"),CONCATENATE("R40C",'Mapa final'!$R$122),"")</f>
        <v/>
      </c>
      <c r="R245" s="108" t="str">
        <f>IF(AND('Mapa final'!$AB$123="Muy Baja",'Mapa final'!$AD$123="Moderado"),CONCATENATE("R40C",'Mapa final'!$R$123),"")</f>
        <v/>
      </c>
      <c r="S245" s="102" t="str">
        <f>IF(AND('Mapa final'!$AB$121="Muy Baja",'Mapa final'!$AD$121="Mayor"),CONCATENATE("R40C",'Mapa final'!$R$121),"")</f>
        <v/>
      </c>
      <c r="T245" s="41" t="str">
        <f>IF(AND('Mapa final'!$AB$122="Muy Baja",'Mapa final'!$AD$122="Mayor"),CONCATENATE("R40C",'Mapa final'!$R$122),"")</f>
        <v/>
      </c>
      <c r="U245" s="103" t="str">
        <f>IF(AND('Mapa final'!$AB$123="Muy Baja",'Mapa final'!$AD$123="Mayor"),CONCATENATE("R40C",'Mapa final'!$R$123),"")</f>
        <v/>
      </c>
      <c r="V245" s="42" t="str">
        <f>IF(AND('Mapa final'!$AB$121="Muy Baja",'Mapa final'!$AD$121="Catastrófico"),CONCATENATE("R40C",'Mapa final'!$R$121),"")</f>
        <v/>
      </c>
      <c r="W245" s="43" t="str">
        <f>IF(AND('Mapa final'!$AB$122="Muy Baja",'Mapa final'!$AD$122="Catastrófico"),CONCATENATE("R40C",'Mapa final'!$R$122),"")</f>
        <v/>
      </c>
      <c r="X245" s="97" t="str">
        <f>IF(AND('Mapa final'!$AB$123="Muy Baja",'Mapa final'!$AD$123="Catastrófico"),CONCATENATE("R40C",'Mapa final'!$R$123),"")</f>
        <v/>
      </c>
      <c r="Y245" s="55"/>
      <c r="Z245" s="55"/>
      <c r="AA245" s="55"/>
      <c r="AB245" s="55"/>
      <c r="AC245" s="55"/>
      <c r="AD245" s="55"/>
      <c r="AE245" s="55"/>
      <c r="AF245" s="55"/>
      <c r="AG245" s="55"/>
      <c r="AH245" s="55"/>
      <c r="AI245" s="55"/>
      <c r="AJ245" s="55"/>
      <c r="AK245" s="55"/>
      <c r="AL245" s="55"/>
      <c r="AM245" s="55"/>
      <c r="AN245" s="55"/>
      <c r="AO245" s="55"/>
      <c r="AP245" s="55"/>
      <c r="AQ245" s="55"/>
      <c r="AR245" s="55"/>
      <c r="AS245" s="55"/>
      <c r="AT245" s="55"/>
      <c r="AU245" s="55"/>
      <c r="AV245" s="55"/>
      <c r="AW245" s="55"/>
      <c r="AX245" s="55"/>
      <c r="AY245" s="55"/>
      <c r="AZ245" s="55"/>
      <c r="BA245" s="55"/>
      <c r="BB245" s="55"/>
      <c r="BC245" s="55"/>
      <c r="BD245" s="55"/>
      <c r="BE245" s="55"/>
      <c r="BF245" s="55"/>
      <c r="BG245" s="55"/>
      <c r="BH245" s="55"/>
      <c r="BI245" s="55"/>
      <c r="BJ245" s="55"/>
      <c r="BK245" s="55"/>
      <c r="BL245" s="55"/>
      <c r="BM245" s="55"/>
    </row>
    <row r="246" spans="1:65" ht="15" customHeight="1" x14ac:dyDescent="0.25">
      <c r="A246" s="55"/>
      <c r="B246" s="316"/>
      <c r="C246" s="316"/>
      <c r="D246" s="317"/>
      <c r="E246" s="306"/>
      <c r="F246" s="305"/>
      <c r="G246" s="305"/>
      <c r="H246" s="305"/>
      <c r="I246" s="305"/>
      <c r="J246" s="112" t="str">
        <f>IF(AND('Mapa final'!$AB$124="Muy Baja",'Mapa final'!$AD$124="Leve"),CONCATENATE("R41C",'Mapa final'!$R$124),"")</f>
        <v/>
      </c>
      <c r="K246" s="53" t="str">
        <f>IF(AND('Mapa final'!$AB$125="Muy Baja",'Mapa final'!$AD$125="Leve"),CONCATENATE("R41C",'Mapa final'!$R$125),"")</f>
        <v/>
      </c>
      <c r="L246" s="113" t="str">
        <f>IF(AND('Mapa final'!$AB$126="Muy Baja",'Mapa final'!$AD$126="Leve"),CONCATENATE("R41C",'Mapa final'!$R$126),"")</f>
        <v/>
      </c>
      <c r="M246" s="112" t="str">
        <f>IF(AND('Mapa final'!$AB$124="Muy Baja",'Mapa final'!$AD$124="Menor"),CONCATENATE("R41C",'Mapa final'!$R$124),"")</f>
        <v/>
      </c>
      <c r="N246" s="53" t="str">
        <f>IF(AND('Mapa final'!$AB$125="Muy Baja",'Mapa final'!$AD$125="Menor"),CONCATENATE("R41C",'Mapa final'!$R$125),"")</f>
        <v/>
      </c>
      <c r="O246" s="113" t="str">
        <f>IF(AND('Mapa final'!$AB$126="Muy Baja",'Mapa final'!$AD$126="Menor"),CONCATENATE("R41C",'Mapa final'!$R$126),"")</f>
        <v/>
      </c>
      <c r="P246" s="48" t="str">
        <f>IF(AND('Mapa final'!$AB$124="Muy Baja",'Mapa final'!$AD$124="Moderado"),CONCATENATE("R41C",'Mapa final'!$R$124),"")</f>
        <v/>
      </c>
      <c r="Q246" s="49" t="str">
        <f>IF(AND('Mapa final'!$AB$125="Muy Baja",'Mapa final'!$AD$125="Moderado"),CONCATENATE("R41C",'Mapa final'!$R$125),"")</f>
        <v/>
      </c>
      <c r="R246" s="108" t="str">
        <f>IF(AND('Mapa final'!$AB$126="Muy Baja",'Mapa final'!$AD$126="Moderado"),CONCATENATE("R41C",'Mapa final'!$R$126),"")</f>
        <v/>
      </c>
      <c r="S246" s="102" t="str">
        <f>IF(AND('Mapa final'!$AB$124="Muy Baja",'Mapa final'!$AD$124="Mayor"),CONCATENATE("R41C",'Mapa final'!$R$124),"")</f>
        <v/>
      </c>
      <c r="T246" s="41" t="str">
        <f>IF(AND('Mapa final'!$AB$125="Muy Baja",'Mapa final'!$AD$125="Mayor"),CONCATENATE("R41C",'Mapa final'!$R$125),"")</f>
        <v/>
      </c>
      <c r="U246" s="103" t="str">
        <f>IF(AND('Mapa final'!$AB$126="Muy Baja",'Mapa final'!$AD$126="Mayor"),CONCATENATE("R41C",'Mapa final'!$R$126),"")</f>
        <v/>
      </c>
      <c r="V246" s="42" t="str">
        <f>IF(AND('Mapa final'!$AB$124="Muy Baja",'Mapa final'!$AD$124="Catastrófico"),CONCATENATE("R41C",'Mapa final'!$R$124),"")</f>
        <v/>
      </c>
      <c r="W246" s="43" t="str">
        <f>IF(AND('Mapa final'!$AB$125="Muy Baja",'Mapa final'!$AD$125="Catastrófico"),CONCATENATE("R41C",'Mapa final'!$R$125),"")</f>
        <v/>
      </c>
      <c r="X246" s="97" t="str">
        <f>IF(AND('Mapa final'!$AB$126="Muy Baja",'Mapa final'!$AD$126="Catastrófico"),CONCATENATE("R41C",'Mapa final'!$R$126),"")</f>
        <v/>
      </c>
      <c r="Y246" s="55"/>
      <c r="Z246" s="55"/>
      <c r="AA246" s="55"/>
      <c r="AB246" s="55"/>
      <c r="AC246" s="55"/>
      <c r="AD246" s="55"/>
      <c r="AE246" s="55"/>
      <c r="AF246" s="55"/>
      <c r="AG246" s="55"/>
      <c r="AH246" s="55"/>
      <c r="AI246" s="55"/>
      <c r="AJ246" s="55"/>
      <c r="AK246" s="55"/>
      <c r="AL246" s="55"/>
      <c r="AM246" s="55"/>
      <c r="AN246" s="55"/>
      <c r="AO246" s="55"/>
      <c r="AP246" s="55"/>
      <c r="AQ246" s="55"/>
      <c r="AR246" s="55"/>
      <c r="AS246" s="55"/>
      <c r="AT246" s="55"/>
      <c r="AU246" s="55"/>
      <c r="AV246" s="55"/>
      <c r="AW246" s="55"/>
      <c r="AX246" s="55"/>
      <c r="AY246" s="55"/>
      <c r="AZ246" s="55"/>
      <c r="BA246" s="55"/>
      <c r="BB246" s="55"/>
      <c r="BC246" s="55"/>
      <c r="BD246" s="55"/>
      <c r="BE246" s="55"/>
      <c r="BF246" s="55"/>
      <c r="BG246" s="55"/>
      <c r="BH246" s="55"/>
      <c r="BI246" s="55"/>
      <c r="BJ246" s="55"/>
      <c r="BK246" s="55"/>
      <c r="BL246" s="55"/>
      <c r="BM246" s="55"/>
    </row>
    <row r="247" spans="1:65" ht="15" customHeight="1" x14ac:dyDescent="0.25">
      <c r="A247" s="55"/>
      <c r="B247" s="316"/>
      <c r="C247" s="316"/>
      <c r="D247" s="317"/>
      <c r="E247" s="306"/>
      <c r="F247" s="305"/>
      <c r="G247" s="305"/>
      <c r="H247" s="305"/>
      <c r="I247" s="305"/>
      <c r="J247" s="112" t="str">
        <f>IF(AND('Mapa final'!$AB$127="Muy Baja",'Mapa final'!$AD$127="Leve"),CONCATENATE("R42C",'Mapa final'!$R$127),"")</f>
        <v/>
      </c>
      <c r="K247" s="53" t="str">
        <f>IF(AND('Mapa final'!$AB$128="Muy Baja",'Mapa final'!$AD$128="Leve"),CONCATENATE("R42C",'Mapa final'!$R$128),"")</f>
        <v/>
      </c>
      <c r="L247" s="113" t="str">
        <f>IF(AND('Mapa final'!$AB$129="Muy Baja",'Mapa final'!$AD$129="Leve"),CONCATENATE("R42C",'Mapa final'!$R$129),"")</f>
        <v/>
      </c>
      <c r="M247" s="112" t="str">
        <f>IF(AND('Mapa final'!$AB$127="Muy Baja",'Mapa final'!$AD$127="Menor"),CONCATENATE("R42C",'Mapa final'!$R$127),"")</f>
        <v/>
      </c>
      <c r="N247" s="53" t="str">
        <f>IF(AND('Mapa final'!$AB$128="Muy Baja",'Mapa final'!$AD$128="Menor"),CONCATENATE("R42C",'Mapa final'!$R$128),"")</f>
        <v/>
      </c>
      <c r="O247" s="113" t="str">
        <f>IF(AND('Mapa final'!$AB$129="Muy Baja",'Mapa final'!$AD$129="Menor"),CONCATENATE("R42C",'Mapa final'!$R$129),"")</f>
        <v/>
      </c>
      <c r="P247" s="48" t="str">
        <f>IF(AND('Mapa final'!$AB$127="Muy Baja",'Mapa final'!$AD$127="Moderado"),CONCATENATE("R42C",'Mapa final'!$R$127),"")</f>
        <v/>
      </c>
      <c r="Q247" s="49" t="str">
        <f>IF(AND('Mapa final'!$AB$128="Muy Baja",'Mapa final'!$AD$128="Moderado"),CONCATENATE("R42C",'Mapa final'!$R$128),"")</f>
        <v/>
      </c>
      <c r="R247" s="108" t="str">
        <f>IF(AND('Mapa final'!$AB$129="Muy Baja",'Mapa final'!$AD$129="Moderado"),CONCATENATE("R42C",'Mapa final'!$R$129),"")</f>
        <v/>
      </c>
      <c r="S247" s="102" t="str">
        <f>IF(AND('Mapa final'!$AB$127="Muy Baja",'Mapa final'!$AD$127="Mayor"),CONCATENATE("R42C",'Mapa final'!$R$127),"")</f>
        <v/>
      </c>
      <c r="T247" s="41" t="str">
        <f>IF(AND('Mapa final'!$AB$128="Muy Baja",'Mapa final'!$AD$128="Mayor"),CONCATENATE("R42C",'Mapa final'!$R$128),"")</f>
        <v/>
      </c>
      <c r="U247" s="103" t="str">
        <f>IF(AND('Mapa final'!$AB$129="Muy Baja",'Mapa final'!$AD$129="Mayor"),CONCATENATE("R42C",'Mapa final'!$R$129),"")</f>
        <v/>
      </c>
      <c r="V247" s="42" t="str">
        <f>IF(AND('Mapa final'!$AB$127="Muy Baja",'Mapa final'!$AD$127="Catastrófico"),CONCATENATE("R42C",'Mapa final'!$R$127),"")</f>
        <v/>
      </c>
      <c r="W247" s="43" t="str">
        <f>IF(AND('Mapa final'!$AB$128="Muy Baja",'Mapa final'!$AD$128="Catastrófico"),CONCATENATE("R42C",'Mapa final'!$R$128),"")</f>
        <v/>
      </c>
      <c r="X247" s="97" t="str">
        <f>IF(AND('Mapa final'!$AB$129="Muy Baja",'Mapa final'!$AD$129="Catastrófico"),CONCATENATE("R42C",'Mapa final'!$R$129),"")</f>
        <v/>
      </c>
      <c r="Y247" s="55"/>
      <c r="Z247" s="55"/>
      <c r="AA247" s="55"/>
      <c r="AB247" s="55"/>
      <c r="AC247" s="55"/>
      <c r="AD247" s="55"/>
      <c r="AE247" s="55"/>
      <c r="AF247" s="55"/>
      <c r="AG247" s="55"/>
      <c r="AH247" s="55"/>
      <c r="AI247" s="55"/>
      <c r="AJ247" s="55"/>
      <c r="AK247" s="55"/>
      <c r="AL247" s="55"/>
      <c r="AM247" s="55"/>
      <c r="AN247" s="55"/>
      <c r="AO247" s="55"/>
      <c r="AP247" s="55"/>
      <c r="AQ247" s="55"/>
      <c r="AR247" s="55"/>
      <c r="AS247" s="55"/>
      <c r="AT247" s="55"/>
      <c r="AU247" s="55"/>
      <c r="AV247" s="55"/>
      <c r="AW247" s="55"/>
      <c r="AX247" s="55"/>
      <c r="AY247" s="55"/>
      <c r="AZ247" s="55"/>
      <c r="BA247" s="55"/>
      <c r="BB247" s="55"/>
      <c r="BC247" s="55"/>
      <c r="BD247" s="55"/>
      <c r="BE247" s="55"/>
      <c r="BF247" s="55"/>
      <c r="BG247" s="55"/>
      <c r="BH247" s="55"/>
      <c r="BI247" s="55"/>
      <c r="BJ247" s="55"/>
      <c r="BK247" s="55"/>
      <c r="BL247" s="55"/>
      <c r="BM247" s="55"/>
    </row>
    <row r="248" spans="1:65" ht="15" customHeight="1" x14ac:dyDescent="0.25">
      <c r="A248" s="55"/>
      <c r="B248" s="316"/>
      <c r="C248" s="316"/>
      <c r="D248" s="317"/>
      <c r="E248" s="306"/>
      <c r="F248" s="305"/>
      <c r="G248" s="305"/>
      <c r="H248" s="305"/>
      <c r="I248" s="305"/>
      <c r="J248" s="112" t="str">
        <f>IF(AND('Mapa final'!$AB$130="Muy Baja",'Mapa final'!$AD$130="Leve"),CONCATENATE("R43C",'Mapa final'!$R$130),"")</f>
        <v/>
      </c>
      <c r="K248" s="53" t="str">
        <f>IF(AND('Mapa final'!$AB$131="Muy Baja",'Mapa final'!$AD$131="Leve"),CONCATENATE("R43C",'Mapa final'!$R$131),"")</f>
        <v/>
      </c>
      <c r="L248" s="113" t="str">
        <f>IF(AND('Mapa final'!$AB$132="Muy Baja",'Mapa final'!$AD$132="Leve"),CONCATENATE("R43C",'Mapa final'!$R$132),"")</f>
        <v/>
      </c>
      <c r="M248" s="112" t="str">
        <f>IF(AND('Mapa final'!$AB$130="Muy Baja",'Mapa final'!$AD$130="Menor"),CONCATENATE("R43C",'Mapa final'!$R$130),"")</f>
        <v/>
      </c>
      <c r="N248" s="53" t="str">
        <f>IF(AND('Mapa final'!$AB$131="Muy Baja",'Mapa final'!$AD$131="Menor"),CONCATENATE("R43C",'Mapa final'!$R$131),"")</f>
        <v/>
      </c>
      <c r="O248" s="113" t="str">
        <f>IF(AND('Mapa final'!$AB$132="Muy Baja",'Mapa final'!$AD$132="Menor"),CONCATENATE("R43C",'Mapa final'!$R$132),"")</f>
        <v/>
      </c>
      <c r="P248" s="48" t="str">
        <f>IF(AND('Mapa final'!$AB$130="Muy Baja",'Mapa final'!$AD$130="Moderado"),CONCATENATE("R43C",'Mapa final'!$R$130),"")</f>
        <v/>
      </c>
      <c r="Q248" s="49" t="str">
        <f>IF(AND('Mapa final'!$AB$131="Muy Baja",'Mapa final'!$AD$131="Moderado"),CONCATENATE("R43C",'Mapa final'!$R$131),"")</f>
        <v/>
      </c>
      <c r="R248" s="108" t="str">
        <f>IF(AND('Mapa final'!$AB$132="Muy Baja",'Mapa final'!$AD$132="Moderado"),CONCATENATE("R43C",'Mapa final'!$R$132),"")</f>
        <v/>
      </c>
      <c r="S248" s="102" t="str">
        <f>IF(AND('Mapa final'!$AB$130="Muy Baja",'Mapa final'!$AD$130="Mayor"),CONCATENATE("R43C",'Mapa final'!$R$130),"")</f>
        <v/>
      </c>
      <c r="T248" s="41" t="str">
        <f>IF(AND('Mapa final'!$AB$131="Muy Baja",'Mapa final'!$AD$131="Mayor"),CONCATENATE("R43C",'Mapa final'!$R$131),"")</f>
        <v/>
      </c>
      <c r="U248" s="103" t="str">
        <f>IF(AND('Mapa final'!$AB$132="Muy Baja",'Mapa final'!$AD$132="Mayor"),CONCATENATE("R43C",'Mapa final'!$R$132),"")</f>
        <v>R43C3</v>
      </c>
      <c r="V248" s="42" t="str">
        <f>IF(AND('Mapa final'!$AB$130="Muy Baja",'Mapa final'!$AD$130="Catastrófico"),CONCATENATE("R43C",'Mapa final'!$R$130),"")</f>
        <v/>
      </c>
      <c r="W248" s="43" t="str">
        <f>IF(AND('Mapa final'!$AB$131="Muy Baja",'Mapa final'!$AD$131="Catastrófico"),CONCATENATE("R43C",'Mapa final'!$R$131),"")</f>
        <v/>
      </c>
      <c r="X248" s="97" t="str">
        <f>IF(AND('Mapa final'!$AB$132="Muy Baja",'Mapa final'!$AD$132="Catastrófico"),CONCATENATE("R43C",'Mapa final'!$R$132),"")</f>
        <v/>
      </c>
      <c r="Y248" s="55"/>
      <c r="Z248" s="55"/>
      <c r="AA248" s="55"/>
      <c r="AB248" s="55"/>
      <c r="AC248" s="55"/>
      <c r="AD248" s="55"/>
      <c r="AE248" s="55"/>
      <c r="AF248" s="55"/>
      <c r="AG248" s="55"/>
      <c r="AH248" s="55"/>
      <c r="AI248" s="55"/>
      <c r="AJ248" s="55"/>
      <c r="AK248" s="55"/>
      <c r="AL248" s="55"/>
      <c r="AM248" s="55"/>
      <c r="AN248" s="55"/>
      <c r="AO248" s="55"/>
      <c r="AP248" s="55"/>
      <c r="AQ248" s="55"/>
      <c r="AR248" s="55"/>
      <c r="AS248" s="55"/>
      <c r="AT248" s="55"/>
      <c r="AU248" s="55"/>
      <c r="AV248" s="55"/>
      <c r="AW248" s="55"/>
      <c r="AX248" s="55"/>
      <c r="AY248" s="55"/>
      <c r="AZ248" s="55"/>
      <c r="BA248" s="55"/>
      <c r="BB248" s="55"/>
      <c r="BC248" s="55"/>
      <c r="BD248" s="55"/>
      <c r="BE248" s="55"/>
      <c r="BF248" s="55"/>
      <c r="BG248" s="55"/>
      <c r="BH248" s="55"/>
      <c r="BI248" s="55"/>
      <c r="BJ248" s="55"/>
      <c r="BK248" s="55"/>
      <c r="BL248" s="55"/>
      <c r="BM248" s="55"/>
    </row>
    <row r="249" spans="1:65" ht="15" customHeight="1" x14ac:dyDescent="0.25">
      <c r="A249" s="55"/>
      <c r="B249" s="316"/>
      <c r="C249" s="316"/>
      <c r="D249" s="317"/>
      <c r="E249" s="306"/>
      <c r="F249" s="305"/>
      <c r="G249" s="305"/>
      <c r="H249" s="305"/>
      <c r="I249" s="305"/>
      <c r="J249" s="112" t="str">
        <f>IF(AND('Mapa final'!$AB$133="Muy Baja",'Mapa final'!$AD$133="Leve"),CONCATENATE("R44C",'Mapa final'!$R$133),"")</f>
        <v/>
      </c>
      <c r="K249" s="53" t="str">
        <f>IF(AND('Mapa final'!$AB$134="Muy Baja",'Mapa final'!$AD$134="Leve"),CONCATENATE("R44C",'Mapa final'!$R$134),"")</f>
        <v/>
      </c>
      <c r="L249" s="113" t="str">
        <f>IF(AND('Mapa final'!$AB$135="Muy Baja",'Mapa final'!$AD$135="Leve"),CONCATENATE("R44C",'Mapa final'!$R$135),"")</f>
        <v/>
      </c>
      <c r="M249" s="112" t="str">
        <f>IF(AND('Mapa final'!$AB$133="Muy Baja",'Mapa final'!$AD$133="Menor"),CONCATENATE("R44C",'Mapa final'!$R$133),"")</f>
        <v/>
      </c>
      <c r="N249" s="53" t="str">
        <f>IF(AND('Mapa final'!$AB$134="Muy Baja",'Mapa final'!$AD$134="Menor"),CONCATENATE("R44C",'Mapa final'!$R$134),"")</f>
        <v/>
      </c>
      <c r="O249" s="113" t="str">
        <f>IF(AND('Mapa final'!$AB$135="Muy Baja",'Mapa final'!$AD$135="Menor"),CONCATENATE("R44C",'Mapa final'!$R$135),"")</f>
        <v/>
      </c>
      <c r="P249" s="48" t="str">
        <f>IF(AND('Mapa final'!$AB$133="Muy Baja",'Mapa final'!$AD$133="Moderado"),CONCATENATE("R44C",'Mapa final'!$R$133),"")</f>
        <v/>
      </c>
      <c r="Q249" s="49" t="str">
        <f>IF(AND('Mapa final'!$AB$134="Muy Baja",'Mapa final'!$AD$134="Moderado"),CONCATENATE("R44C",'Mapa final'!$R$134),"")</f>
        <v/>
      </c>
      <c r="R249" s="108" t="str">
        <f>IF(AND('Mapa final'!$AB$135="Muy Baja",'Mapa final'!$AD$135="Moderado"),CONCATENATE("R44C",'Mapa final'!$R$135),"")</f>
        <v/>
      </c>
      <c r="S249" s="102" t="str">
        <f>IF(AND('Mapa final'!$AB$133="Muy Baja",'Mapa final'!$AD$133="Mayor"),CONCATENATE("R44C",'Mapa final'!$R$133),"")</f>
        <v/>
      </c>
      <c r="T249" s="41" t="str">
        <f>IF(AND('Mapa final'!$AB$134="Muy Baja",'Mapa final'!$AD$134="Mayor"),CONCATENATE("R44C",'Mapa final'!$R$134),"")</f>
        <v/>
      </c>
      <c r="U249" s="103" t="str">
        <f>IF(AND('Mapa final'!$AB$135="Muy Baja",'Mapa final'!$AD$135="Mayor"),CONCATENATE("R44C",'Mapa final'!$R$135),"")</f>
        <v/>
      </c>
      <c r="V249" s="42" t="str">
        <f>IF(AND('Mapa final'!$AB$133="Muy Baja",'Mapa final'!$AD$133="Catastrófico"),CONCATENATE("R44C",'Mapa final'!$R$133),"")</f>
        <v/>
      </c>
      <c r="W249" s="43" t="str">
        <f>IF(AND('Mapa final'!$AB$134="Muy Baja",'Mapa final'!$AD$134="Catastrófico"),CONCATENATE("R44C",'Mapa final'!$R$134),"")</f>
        <v/>
      </c>
      <c r="X249" s="97" t="str">
        <f>IF(AND('Mapa final'!$AB$135="Muy Baja",'Mapa final'!$AD$135="Catastrófico"),CONCATENATE("R44C",'Mapa final'!$R$135),"")</f>
        <v/>
      </c>
      <c r="Y249" s="55"/>
      <c r="Z249" s="55"/>
      <c r="AA249" s="55"/>
      <c r="AB249" s="55"/>
      <c r="AC249" s="55"/>
      <c r="AD249" s="55"/>
      <c r="AE249" s="55"/>
      <c r="AF249" s="55"/>
      <c r="AG249" s="55"/>
      <c r="AH249" s="55"/>
      <c r="AI249" s="55"/>
      <c r="AJ249" s="55"/>
      <c r="AK249" s="55"/>
      <c r="AL249" s="55"/>
      <c r="AM249" s="55"/>
      <c r="AN249" s="55"/>
      <c r="AO249" s="55"/>
      <c r="AP249" s="55"/>
      <c r="AQ249" s="55"/>
      <c r="AR249" s="55"/>
      <c r="AS249" s="55"/>
      <c r="AT249" s="55"/>
      <c r="AU249" s="55"/>
      <c r="AV249" s="55"/>
      <c r="AW249" s="55"/>
      <c r="AX249" s="55"/>
      <c r="AY249" s="55"/>
      <c r="AZ249" s="55"/>
      <c r="BA249" s="55"/>
      <c r="BB249" s="55"/>
      <c r="BC249" s="55"/>
      <c r="BD249" s="55"/>
      <c r="BE249" s="55"/>
      <c r="BF249" s="55"/>
      <c r="BG249" s="55"/>
      <c r="BH249" s="55"/>
      <c r="BI249" s="55"/>
      <c r="BJ249" s="55"/>
      <c r="BK249" s="55"/>
      <c r="BL249" s="55"/>
      <c r="BM249" s="55"/>
    </row>
    <row r="250" spans="1:65" ht="15" customHeight="1" x14ac:dyDescent="0.25">
      <c r="A250" s="55"/>
      <c r="B250" s="316"/>
      <c r="C250" s="316"/>
      <c r="D250" s="317"/>
      <c r="E250" s="306"/>
      <c r="F250" s="305"/>
      <c r="G250" s="305"/>
      <c r="H250" s="305"/>
      <c r="I250" s="305"/>
      <c r="J250" s="112" t="str">
        <f>IF(AND('Mapa final'!$AB$136="Muy Baja",'Mapa final'!$AD$136="Leve"),CONCATENATE("R45C",'Mapa final'!$R$136),"")</f>
        <v/>
      </c>
      <c r="K250" s="53" t="str">
        <f>IF(AND('Mapa final'!$AB$137="Muy Baja",'Mapa final'!$AD$137="Leve"),CONCATENATE("R45C",'Mapa final'!$R$137),"")</f>
        <v/>
      </c>
      <c r="L250" s="113" t="str">
        <f>IF(AND('Mapa final'!$AB$138="Muy Baja",'Mapa final'!$AD$138="Leve"),CONCATENATE("R45C",'Mapa final'!$R$138),"")</f>
        <v/>
      </c>
      <c r="M250" s="112" t="str">
        <f>IF(AND('Mapa final'!$AB$136="Muy Baja",'Mapa final'!$AD$136="Menor"),CONCATENATE("R45C",'Mapa final'!$R$136),"")</f>
        <v/>
      </c>
      <c r="N250" s="53" t="str">
        <f>IF(AND('Mapa final'!$AB$137="Muy Baja",'Mapa final'!$AD$137="Menor"),CONCATENATE("R45C",'Mapa final'!$R$137),"")</f>
        <v/>
      </c>
      <c r="O250" s="113" t="str">
        <f>IF(AND('Mapa final'!$AB$138="Muy Baja",'Mapa final'!$AD$138="Menor"),CONCATENATE("R45C",'Mapa final'!$R$138),"")</f>
        <v/>
      </c>
      <c r="P250" s="48" t="str">
        <f>IF(AND('Mapa final'!$AB$136="Muy Baja",'Mapa final'!$AD$136="Moderado"),CONCATENATE("R45C",'Mapa final'!$R$136),"")</f>
        <v/>
      </c>
      <c r="Q250" s="49" t="str">
        <f>IF(AND('Mapa final'!$AB$137="Muy Baja",'Mapa final'!$AD$137="Moderado"),CONCATENATE("R45C",'Mapa final'!$R$137),"")</f>
        <v/>
      </c>
      <c r="R250" s="108" t="str">
        <f>IF(AND('Mapa final'!$AB$138="Muy Baja",'Mapa final'!$AD$138="Moderado"),CONCATENATE("R45C",'Mapa final'!$R$138),"")</f>
        <v/>
      </c>
      <c r="S250" s="102" t="str">
        <f>IF(AND('Mapa final'!$AB$136="Muy Baja",'Mapa final'!$AD$136="Mayor"),CONCATENATE("R45C",'Mapa final'!$R$136),"")</f>
        <v/>
      </c>
      <c r="T250" s="41" t="str">
        <f>IF(AND('Mapa final'!$AB$137="Muy Baja",'Mapa final'!$AD$137="Mayor"),CONCATENATE("R45C",'Mapa final'!$R$137),"")</f>
        <v/>
      </c>
      <c r="U250" s="103" t="str">
        <f>IF(AND('Mapa final'!$AB$138="Muy Baja",'Mapa final'!$AD$138="Mayor"),CONCATENATE("R45C",'Mapa final'!$R$138),"")</f>
        <v/>
      </c>
      <c r="V250" s="42" t="str">
        <f>IF(AND('Mapa final'!$AB$136="Muy Baja",'Mapa final'!$AD$136="Catastrófico"),CONCATENATE("R45C",'Mapa final'!$R$136),"")</f>
        <v/>
      </c>
      <c r="W250" s="43" t="str">
        <f>IF(AND('Mapa final'!$AB$137="Muy Baja",'Mapa final'!$AD$137="Catastrófico"),CONCATENATE("R45C",'Mapa final'!$R$137),"")</f>
        <v/>
      </c>
      <c r="X250" s="97" t="str">
        <f>IF(AND('Mapa final'!$AB$138="Muy Baja",'Mapa final'!$AD$138="Catastrófico"),CONCATENATE("R45C",'Mapa final'!$R$138),"")</f>
        <v/>
      </c>
      <c r="Y250" s="55"/>
      <c r="Z250" s="55"/>
      <c r="AA250" s="55"/>
      <c r="AB250" s="55"/>
      <c r="AC250" s="55"/>
      <c r="AD250" s="55"/>
      <c r="AE250" s="55"/>
      <c r="AF250" s="55"/>
      <c r="AG250" s="55"/>
      <c r="AH250" s="55"/>
      <c r="AI250" s="55"/>
      <c r="AJ250" s="55"/>
      <c r="AK250" s="55"/>
      <c r="AL250" s="55"/>
      <c r="AM250" s="55"/>
      <c r="AN250" s="55"/>
      <c r="AO250" s="55"/>
      <c r="AP250" s="55"/>
      <c r="AQ250" s="55"/>
      <c r="AR250" s="55"/>
      <c r="AS250" s="55"/>
      <c r="AT250" s="55"/>
      <c r="AU250" s="55"/>
      <c r="AV250" s="55"/>
      <c r="AW250" s="55"/>
      <c r="AX250" s="55"/>
      <c r="AY250" s="55"/>
      <c r="AZ250" s="55"/>
      <c r="BA250" s="55"/>
      <c r="BB250" s="55"/>
      <c r="BC250" s="55"/>
      <c r="BD250" s="55"/>
      <c r="BE250" s="55"/>
      <c r="BF250" s="55"/>
      <c r="BG250" s="55"/>
      <c r="BH250" s="55"/>
      <c r="BI250" s="55"/>
      <c r="BJ250" s="55"/>
      <c r="BK250" s="55"/>
      <c r="BL250" s="55"/>
      <c r="BM250" s="55"/>
    </row>
    <row r="251" spans="1:65" ht="15" customHeight="1" x14ac:dyDescent="0.25">
      <c r="A251" s="55"/>
      <c r="B251" s="316"/>
      <c r="C251" s="316"/>
      <c r="D251" s="317"/>
      <c r="E251" s="306"/>
      <c r="F251" s="305"/>
      <c r="G251" s="305"/>
      <c r="H251" s="305"/>
      <c r="I251" s="305"/>
      <c r="J251" s="112" t="str">
        <f>IF(AND('Mapa final'!$AB$139="Muy Baja",'Mapa final'!$AD$139="Leve"),CONCATENATE("R46C",'Mapa final'!$R$139),"")</f>
        <v/>
      </c>
      <c r="K251" s="53" t="str">
        <f>IF(AND('Mapa final'!$AB$140="Muy Baja",'Mapa final'!$AD$140="Leve"),CONCATENATE("R46C",'Mapa final'!$R$140),"")</f>
        <v/>
      </c>
      <c r="L251" s="113" t="str">
        <f>IF(AND('Mapa final'!$AB$141="Muy Baja",'Mapa final'!$AD$141="Leve"),CONCATENATE("R46C",'Mapa final'!$R$141),"")</f>
        <v/>
      </c>
      <c r="M251" s="112" t="str">
        <f>IF(AND('Mapa final'!$AB$139="Muy Baja",'Mapa final'!$AD$139="Menor"),CONCATENATE("R46C",'Mapa final'!$R$139),"")</f>
        <v/>
      </c>
      <c r="N251" s="53" t="str">
        <f>IF(AND('Mapa final'!$AB$140="Muy Baja",'Mapa final'!$AD$140="Menor"),CONCATENATE("R46C",'Mapa final'!$R$140),"")</f>
        <v/>
      </c>
      <c r="O251" s="113" t="str">
        <f>IF(AND('Mapa final'!$AB$141="Muy Baja",'Mapa final'!$AD$141="Menor"),CONCATENATE("R46C",'Mapa final'!$R$141),"")</f>
        <v/>
      </c>
      <c r="P251" s="48" t="str">
        <f>IF(AND('Mapa final'!$AB$139="Muy Baja",'Mapa final'!$AD$139="Moderado"),CONCATENATE("R46C",'Mapa final'!$R$139),"")</f>
        <v/>
      </c>
      <c r="Q251" s="49" t="str">
        <f>IF(AND('Mapa final'!$AB$140="Muy Baja",'Mapa final'!$AD$140="Moderado"),CONCATENATE("R46C",'Mapa final'!$R$140),"")</f>
        <v/>
      </c>
      <c r="R251" s="108" t="str">
        <f>IF(AND('Mapa final'!$AB$141="Muy Baja",'Mapa final'!$AD$141="Moderado"),CONCATENATE("R46C",'Mapa final'!$R$141),"")</f>
        <v/>
      </c>
      <c r="S251" s="102" t="str">
        <f>IF(AND('Mapa final'!$AB$139="Muy Baja",'Mapa final'!$AD$139="Mayor"),CONCATENATE("R46C",'Mapa final'!$R$139),"")</f>
        <v/>
      </c>
      <c r="T251" s="41" t="str">
        <f>IF(AND('Mapa final'!$AB$140="Muy Baja",'Mapa final'!$AD$140="Mayor"),CONCATENATE("R46C",'Mapa final'!$R$140),"")</f>
        <v/>
      </c>
      <c r="U251" s="103" t="str">
        <f>IF(AND('Mapa final'!$AB$141="Muy Baja",'Mapa final'!$AD$141="Mayor"),CONCATENATE("R46C",'Mapa final'!$R$141),"")</f>
        <v/>
      </c>
      <c r="V251" s="42" t="str">
        <f>IF(AND('Mapa final'!$AB$139="Muy Baja",'Mapa final'!$AD$139="Catastrófico"),CONCATENATE("R46C",'Mapa final'!$R$139),"")</f>
        <v/>
      </c>
      <c r="W251" s="43" t="str">
        <f>IF(AND('Mapa final'!$AB$140="Muy Baja",'Mapa final'!$AD$140="Catastrófico"),CONCATENATE("R46C",'Mapa final'!$R$140),"")</f>
        <v/>
      </c>
      <c r="X251" s="97" t="str">
        <f>IF(AND('Mapa final'!$AB$141="Muy Baja",'Mapa final'!$AD$141="Catastrófico"),CONCATENATE("R46C",'Mapa final'!$R$141),"")</f>
        <v/>
      </c>
      <c r="Y251" s="55"/>
      <c r="Z251" s="55"/>
      <c r="AA251" s="55"/>
      <c r="AB251" s="55"/>
      <c r="AC251" s="55"/>
      <c r="AD251" s="55"/>
      <c r="AE251" s="55"/>
      <c r="AF251" s="55"/>
      <c r="AG251" s="55"/>
      <c r="AH251" s="55"/>
      <c r="AI251" s="55"/>
      <c r="AJ251" s="55"/>
      <c r="AK251" s="55"/>
      <c r="AL251" s="55"/>
      <c r="AM251" s="55"/>
      <c r="AN251" s="55"/>
      <c r="AO251" s="55"/>
      <c r="AP251" s="55"/>
      <c r="AQ251" s="55"/>
      <c r="AR251" s="55"/>
      <c r="AS251" s="55"/>
      <c r="AT251" s="55"/>
      <c r="AU251" s="55"/>
      <c r="AV251" s="55"/>
      <c r="AW251" s="55"/>
      <c r="AX251" s="55"/>
      <c r="AY251" s="55"/>
      <c r="AZ251" s="55"/>
      <c r="BA251" s="55"/>
      <c r="BB251" s="55"/>
      <c r="BC251" s="55"/>
      <c r="BD251" s="55"/>
      <c r="BE251" s="55"/>
      <c r="BF251" s="55"/>
      <c r="BG251" s="55"/>
      <c r="BH251" s="55"/>
      <c r="BI251" s="55"/>
      <c r="BJ251" s="55"/>
      <c r="BK251" s="55"/>
      <c r="BL251" s="55"/>
      <c r="BM251" s="55"/>
    </row>
    <row r="252" spans="1:65" ht="15" customHeight="1" x14ac:dyDescent="0.25">
      <c r="A252" s="55"/>
      <c r="B252" s="316"/>
      <c r="C252" s="316"/>
      <c r="D252" s="317"/>
      <c r="E252" s="306"/>
      <c r="F252" s="305"/>
      <c r="G252" s="305"/>
      <c r="H252" s="305"/>
      <c r="I252" s="305"/>
      <c r="J252" s="112" t="str">
        <f>IF(AND('Mapa final'!$AB$142="Muy Baja",'Mapa final'!$AD$142="Leve"),CONCATENATE("R47C",'Mapa final'!$R$142),"")</f>
        <v/>
      </c>
      <c r="K252" s="53" t="str">
        <f>IF(AND('Mapa final'!$AB$143="Muy Baja",'Mapa final'!$AD$143="Leve"),CONCATENATE("R47C",'Mapa final'!$R$143),"")</f>
        <v/>
      </c>
      <c r="L252" s="113" t="str">
        <f>IF(AND('Mapa final'!$AB$144="Muy Baja",'Mapa final'!$AD$144="Leve"),CONCATENATE("R47C",'Mapa final'!$R$144),"")</f>
        <v/>
      </c>
      <c r="M252" s="112" t="str">
        <f>IF(AND('Mapa final'!$AB$142="Muy Baja",'Mapa final'!$AD$142="Menor"),CONCATENATE("R47C",'Mapa final'!$R$142),"")</f>
        <v/>
      </c>
      <c r="N252" s="53" t="str">
        <f>IF(AND('Mapa final'!$AB$143="Muy Baja",'Mapa final'!$AD$143="Menor"),CONCATENATE("R47C",'Mapa final'!$R$143),"")</f>
        <v/>
      </c>
      <c r="O252" s="113" t="str">
        <f>IF(AND('Mapa final'!$AB$144="Muy Baja",'Mapa final'!$AD$144="Menor"),CONCATENATE("R47C",'Mapa final'!$R$144),"")</f>
        <v/>
      </c>
      <c r="P252" s="48" t="str">
        <f>IF(AND('Mapa final'!$AB$142="Muy Baja",'Mapa final'!$AD$142="Moderado"),CONCATENATE("R47C",'Mapa final'!$R$142),"")</f>
        <v/>
      </c>
      <c r="Q252" s="49" t="str">
        <f>IF(AND('Mapa final'!$AB$143="Muy Baja",'Mapa final'!$AD$143="Moderado"),CONCATENATE("R47C",'Mapa final'!$R$143),"")</f>
        <v/>
      </c>
      <c r="R252" s="108" t="str">
        <f>IF(AND('Mapa final'!$AB$144="Muy Baja",'Mapa final'!$AD$144="Moderado"),CONCATENATE("R47C",'Mapa final'!$R$144),"")</f>
        <v/>
      </c>
      <c r="S252" s="102" t="str">
        <f>IF(AND('Mapa final'!$AB$142="Muy Baja",'Mapa final'!$AD$142="Mayor"),CONCATENATE("R47C",'Mapa final'!$R$142),"")</f>
        <v/>
      </c>
      <c r="T252" s="41" t="str">
        <f>IF(AND('Mapa final'!$AB$143="Muy Baja",'Mapa final'!$AD$143="Mayor"),CONCATENATE("R47C",'Mapa final'!$R$143),"")</f>
        <v/>
      </c>
      <c r="U252" s="103" t="str">
        <f>IF(AND('Mapa final'!$AB$144="Muy Baja",'Mapa final'!$AD$144="Mayor"),CONCATENATE("R47C",'Mapa final'!$R$144),"")</f>
        <v/>
      </c>
      <c r="V252" s="42" t="str">
        <f>IF(AND('Mapa final'!$AB$142="Muy Baja",'Mapa final'!$AD$142="Catastrófico"),CONCATENATE("R47C",'Mapa final'!$R$142),"")</f>
        <v/>
      </c>
      <c r="W252" s="43" t="str">
        <f>IF(AND('Mapa final'!$AB$143="Muy Baja",'Mapa final'!$AD$143="Catastrófico"),CONCATENATE("R47C",'Mapa final'!$R$143),"")</f>
        <v/>
      </c>
      <c r="X252" s="97" t="str">
        <f>IF(AND('Mapa final'!$AB$144="Muy Baja",'Mapa final'!$AD$144="Catastrófico"),CONCATENATE("R47C",'Mapa final'!$R$144),"")</f>
        <v/>
      </c>
      <c r="Y252" s="55"/>
      <c r="Z252" s="55"/>
      <c r="AA252" s="55"/>
      <c r="AB252" s="55"/>
      <c r="AC252" s="55"/>
      <c r="AD252" s="55"/>
      <c r="AE252" s="55"/>
      <c r="AF252" s="55"/>
      <c r="AG252" s="55"/>
      <c r="AH252" s="55"/>
      <c r="AI252" s="55"/>
      <c r="AJ252" s="55"/>
      <c r="AK252" s="55"/>
      <c r="AL252" s="55"/>
      <c r="AM252" s="55"/>
      <c r="AN252" s="55"/>
      <c r="AO252" s="55"/>
      <c r="AP252" s="55"/>
      <c r="AQ252" s="55"/>
      <c r="AR252" s="55"/>
      <c r="AS252" s="55"/>
      <c r="AT252" s="55"/>
      <c r="AU252" s="55"/>
      <c r="AV252" s="55"/>
      <c r="AW252" s="55"/>
      <c r="AX252" s="55"/>
      <c r="AY252" s="55"/>
      <c r="AZ252" s="55"/>
      <c r="BA252" s="55"/>
      <c r="BB252" s="55"/>
      <c r="BC252" s="55"/>
      <c r="BD252" s="55"/>
      <c r="BE252" s="55"/>
      <c r="BF252" s="55"/>
      <c r="BG252" s="55"/>
      <c r="BH252" s="55"/>
      <c r="BI252" s="55"/>
      <c r="BJ252" s="55"/>
      <c r="BK252" s="55"/>
      <c r="BL252" s="55"/>
      <c r="BM252" s="55"/>
    </row>
    <row r="253" spans="1:65" ht="15" customHeight="1" x14ac:dyDescent="0.25">
      <c r="A253" s="55"/>
      <c r="B253" s="316"/>
      <c r="C253" s="316"/>
      <c r="D253" s="317"/>
      <c r="E253" s="306"/>
      <c r="F253" s="305"/>
      <c r="G253" s="305"/>
      <c r="H253" s="305"/>
      <c r="I253" s="305"/>
      <c r="J253" s="112" t="str">
        <f>IF(AND('Mapa final'!$AB$145="Muy Baja",'Mapa final'!$AD$145="Leve"),CONCATENATE("R48C",'Mapa final'!$R$145),"")</f>
        <v/>
      </c>
      <c r="K253" s="53" t="str">
        <f>IF(AND('Mapa final'!$AB$146="Muy Baja",'Mapa final'!$AD$146="Leve"),CONCATENATE("R48C",'Mapa final'!$R$146),"")</f>
        <v/>
      </c>
      <c r="L253" s="113" t="str">
        <f>IF(AND('Mapa final'!$AB$147="Muy Baja",'Mapa final'!$AD$147="Leve"),CONCATENATE("R48C",'Mapa final'!$R$147),"")</f>
        <v/>
      </c>
      <c r="M253" s="112" t="str">
        <f>IF(AND('Mapa final'!$AB$145="Muy Baja",'Mapa final'!$AD$145="Menor"),CONCATENATE("R48C",'Mapa final'!$R$145),"")</f>
        <v/>
      </c>
      <c r="N253" s="53" t="str">
        <f>IF(AND('Mapa final'!$AB$146="Muy Baja",'Mapa final'!$AD$146="Menor"),CONCATENATE("R48C",'Mapa final'!$R$146),"")</f>
        <v/>
      </c>
      <c r="O253" s="113" t="str">
        <f>IF(AND('Mapa final'!$AB$147="Muy Baja",'Mapa final'!$AD$147="Menor"),CONCATENATE("R48C",'Mapa final'!$R$147),"")</f>
        <v/>
      </c>
      <c r="P253" s="48" t="str">
        <f>IF(AND('Mapa final'!$AB$145="Muy Baja",'Mapa final'!$AD$145="Moderado"),CONCATENATE("R48C",'Mapa final'!$R$145),"")</f>
        <v/>
      </c>
      <c r="Q253" s="49" t="str">
        <f>IF(AND('Mapa final'!$AB$146="Muy Baja",'Mapa final'!$AD$146="Moderado"),CONCATENATE("R48C",'Mapa final'!$R$146),"")</f>
        <v/>
      </c>
      <c r="R253" s="108" t="str">
        <f>IF(AND('Mapa final'!$AB$147="Muy Baja",'Mapa final'!$AD$147="Moderado"),CONCATENATE("R48C",'Mapa final'!$R$147),"")</f>
        <v/>
      </c>
      <c r="S253" s="102" t="str">
        <f>IF(AND('Mapa final'!$AB$145="Muy Baja",'Mapa final'!$AD$145="Mayor"),CONCATENATE("R48C",'Mapa final'!$R$145),"")</f>
        <v/>
      </c>
      <c r="T253" s="41" t="str">
        <f>IF(AND('Mapa final'!$AB$146="Muy Baja",'Mapa final'!$AD$146="Mayor"),CONCATENATE("R48C",'Mapa final'!$R$146),"")</f>
        <v/>
      </c>
      <c r="U253" s="103" t="str">
        <f>IF(AND('Mapa final'!$AB$147="Muy Baja",'Mapa final'!$AD$147="Mayor"),CONCATENATE("R48C",'Mapa final'!$R$147),"")</f>
        <v/>
      </c>
      <c r="V253" s="42" t="str">
        <f>IF(AND('Mapa final'!$AB$145="Muy Baja",'Mapa final'!$AD$145="Catastrófico"),CONCATENATE("R48C",'Mapa final'!$R$145),"")</f>
        <v/>
      </c>
      <c r="W253" s="43" t="str">
        <f>IF(AND('Mapa final'!$AB$146="Muy Baja",'Mapa final'!$AD$146="Catastrófico"),CONCATENATE("R48C",'Mapa final'!$R$146),"")</f>
        <v/>
      </c>
      <c r="X253" s="97" t="str">
        <f>IF(AND('Mapa final'!$AB$147="Muy Baja",'Mapa final'!$AD$147="Catastrófico"),CONCATENATE("R48C",'Mapa final'!$R$147),"")</f>
        <v/>
      </c>
      <c r="Y253" s="55"/>
      <c r="Z253" s="55"/>
      <c r="AA253" s="55"/>
      <c r="AB253" s="55"/>
      <c r="AC253" s="55"/>
      <c r="AD253" s="55"/>
      <c r="AE253" s="55"/>
      <c r="AF253" s="55"/>
      <c r="AG253" s="55"/>
      <c r="AH253" s="55"/>
      <c r="AI253" s="55"/>
      <c r="AJ253" s="55"/>
      <c r="AK253" s="55"/>
      <c r="AL253" s="55"/>
      <c r="AM253" s="55"/>
      <c r="AN253" s="55"/>
      <c r="AO253" s="55"/>
      <c r="AP253" s="55"/>
      <c r="AQ253" s="55"/>
      <c r="AR253" s="55"/>
      <c r="AS253" s="55"/>
      <c r="AT253" s="55"/>
      <c r="AU253" s="55"/>
      <c r="AV253" s="55"/>
      <c r="AW253" s="55"/>
      <c r="AX253" s="55"/>
      <c r="AY253" s="55"/>
      <c r="AZ253" s="55"/>
      <c r="BA253" s="55"/>
      <c r="BB253" s="55"/>
      <c r="BC253" s="55"/>
      <c r="BD253" s="55"/>
      <c r="BE253" s="55"/>
      <c r="BF253" s="55"/>
      <c r="BG253" s="55"/>
      <c r="BH253" s="55"/>
      <c r="BI253" s="55"/>
      <c r="BJ253" s="55"/>
      <c r="BK253" s="55"/>
      <c r="BL253" s="55"/>
      <c r="BM253" s="55"/>
    </row>
    <row r="254" spans="1:65" ht="15" customHeight="1" x14ac:dyDescent="0.25">
      <c r="A254" s="55"/>
      <c r="B254" s="316"/>
      <c r="C254" s="316"/>
      <c r="D254" s="317"/>
      <c r="E254" s="306"/>
      <c r="F254" s="305"/>
      <c r="G254" s="305"/>
      <c r="H254" s="305"/>
      <c r="I254" s="305"/>
      <c r="J254" s="112" t="str">
        <f>IF(AND('Mapa final'!$AB$148="Muy Baja",'Mapa final'!$AD$148="Leve"),CONCATENATE("R49C",'Mapa final'!$R$148),"")</f>
        <v/>
      </c>
      <c r="K254" s="53" t="str">
        <f>IF(AND('Mapa final'!$AB$149="Muy Baja",'Mapa final'!$AD$149="Leve"),CONCATENATE("R49C",'Mapa final'!$R$149),"")</f>
        <v/>
      </c>
      <c r="L254" s="113" t="str">
        <f>IF(AND('Mapa final'!$AB$150="Muy Baja",'Mapa final'!$AD$150="Leve"),CONCATENATE("R49C",'Mapa final'!$R$150),"")</f>
        <v/>
      </c>
      <c r="M254" s="112" t="str">
        <f>IF(AND('Mapa final'!$AB$148="Muy Baja",'Mapa final'!$AD$148="Menor"),CONCATENATE("R49C",'Mapa final'!$R$148),"")</f>
        <v/>
      </c>
      <c r="N254" s="53" t="str">
        <f>IF(AND('Mapa final'!$AB$149="Muy Baja",'Mapa final'!$AD$149="Menor"),CONCATENATE("R49C",'Mapa final'!$R$149),"")</f>
        <v/>
      </c>
      <c r="O254" s="113" t="str">
        <f>IF(AND('Mapa final'!$AB$150="Muy Baja",'Mapa final'!$AD$150="Menor"),CONCATENATE("R49C",'Mapa final'!$R$150),"")</f>
        <v/>
      </c>
      <c r="P254" s="48" t="str">
        <f>IF(AND('Mapa final'!$AB$148="Muy Baja",'Mapa final'!$AD$148="Moderado"),CONCATENATE("R49C",'Mapa final'!$R$148),"")</f>
        <v/>
      </c>
      <c r="Q254" s="49" t="str">
        <f>IF(AND('Mapa final'!$AB$149="Muy Baja",'Mapa final'!$AD$149="Moderado"),CONCATENATE("R49C",'Mapa final'!$R$149),"")</f>
        <v/>
      </c>
      <c r="R254" s="108" t="str">
        <f>IF(AND('Mapa final'!$AB$150="Muy Baja",'Mapa final'!$AD$150="Moderado"),CONCATENATE("R49C",'Mapa final'!$R$150),"")</f>
        <v/>
      </c>
      <c r="S254" s="102" t="str">
        <f>IF(AND('Mapa final'!$AB$148="Muy Baja",'Mapa final'!$AD$148="Mayor"),CONCATENATE("R49C",'Mapa final'!$R$148),"")</f>
        <v/>
      </c>
      <c r="T254" s="41" t="str">
        <f>IF(AND('Mapa final'!$AB$149="Muy Baja",'Mapa final'!$AD$149="Mayor"),CONCATENATE("R49C",'Mapa final'!$R$149),"")</f>
        <v/>
      </c>
      <c r="U254" s="103" t="str">
        <f>IF(AND('Mapa final'!$AB$150="Muy Baja",'Mapa final'!$AD$150="Mayor"),CONCATENATE("R49C",'Mapa final'!$R$150),"")</f>
        <v/>
      </c>
      <c r="V254" s="42" t="str">
        <f>IF(AND('Mapa final'!$AB$148="Muy Baja",'Mapa final'!$AD$148="Catastrófico"),CONCATENATE("R49C",'Mapa final'!$R$148),"")</f>
        <v/>
      </c>
      <c r="W254" s="43" t="str">
        <f>IF(AND('Mapa final'!$AB$149="Muy Baja",'Mapa final'!$AD$149="Catastrófico"),CONCATENATE("R49C",'Mapa final'!$R$149),"")</f>
        <v/>
      </c>
      <c r="X254" s="97" t="str">
        <f>IF(AND('Mapa final'!$AB$150="Muy Baja",'Mapa final'!$AD$150="Catastrófico"),CONCATENATE("R49C",'Mapa final'!$R$150),"")</f>
        <v/>
      </c>
      <c r="Y254" s="55"/>
      <c r="Z254" s="55"/>
      <c r="AA254" s="55"/>
      <c r="AB254" s="55"/>
      <c r="AC254" s="55"/>
      <c r="AD254" s="55"/>
      <c r="AE254" s="55"/>
      <c r="AF254" s="55"/>
      <c r="AG254" s="55"/>
      <c r="AH254" s="55"/>
      <c r="AI254" s="55"/>
      <c r="AJ254" s="55"/>
      <c r="AK254" s="55"/>
      <c r="AL254" s="55"/>
      <c r="AM254" s="55"/>
      <c r="AN254" s="55"/>
      <c r="AO254" s="55"/>
      <c r="AP254" s="55"/>
      <c r="AQ254" s="55"/>
      <c r="AR254" s="55"/>
      <c r="AS254" s="55"/>
      <c r="AT254" s="55"/>
      <c r="AU254" s="55"/>
      <c r="AV254" s="55"/>
      <c r="AW254" s="55"/>
      <c r="AX254" s="55"/>
      <c r="AY254" s="55"/>
      <c r="AZ254" s="55"/>
      <c r="BA254" s="55"/>
      <c r="BB254" s="55"/>
      <c r="BC254" s="55"/>
      <c r="BD254" s="55"/>
      <c r="BE254" s="55"/>
      <c r="BF254" s="55"/>
      <c r="BG254" s="55"/>
      <c r="BH254" s="55"/>
      <c r="BI254" s="55"/>
      <c r="BJ254" s="55"/>
      <c r="BK254" s="55"/>
      <c r="BL254" s="55"/>
      <c r="BM254" s="55"/>
    </row>
    <row r="255" spans="1:65" ht="15" customHeight="1" thickBot="1" x14ac:dyDescent="0.3">
      <c r="A255" s="55"/>
      <c r="B255" s="316"/>
      <c r="C255" s="316"/>
      <c r="D255" s="317"/>
      <c r="E255" s="306"/>
      <c r="F255" s="305"/>
      <c r="G255" s="305"/>
      <c r="H255" s="305"/>
      <c r="I255" s="305"/>
      <c r="J255" s="114" t="str">
        <f>IF(AND('Mapa final'!$AB$151="Muy Baja",'Mapa final'!$AD$151="Leve"),CONCATENATE("R50C",'Mapa final'!$R$151),"")</f>
        <v/>
      </c>
      <c r="K255" s="54" t="str">
        <f>IF(AND('Mapa final'!$AB$152="Muy Baja",'Mapa final'!$AD$152="Leve"),CONCATENATE("R50C",'Mapa final'!$R$152),"")</f>
        <v/>
      </c>
      <c r="L255" s="115" t="str">
        <f>IF(AND('Mapa final'!$AB$153="Muy Baja",'Mapa final'!$AD$153="Leve"),CONCATENATE("R50C",'Mapa final'!$R$153),"")</f>
        <v/>
      </c>
      <c r="M255" s="114" t="str">
        <f>IF(AND('Mapa final'!$AB$151="Muy Baja",'Mapa final'!$AD$151="Menor"),CONCATENATE("R50C",'Mapa final'!$R$151),"")</f>
        <v/>
      </c>
      <c r="N255" s="54" t="str">
        <f>IF(AND('Mapa final'!$AB$152="Muy Baja",'Mapa final'!$AD$152="Menor"),CONCATENATE("R50C",'Mapa final'!$R$152),"")</f>
        <v/>
      </c>
      <c r="O255" s="115" t="str">
        <f>IF(AND('Mapa final'!$AB$153="Muy Baja",'Mapa final'!$AD$153="Menor"),CONCATENATE("R50C",'Mapa final'!$R$153),"")</f>
        <v/>
      </c>
      <c r="P255" s="50" t="str">
        <f>IF(AND('Mapa final'!$AB$151="Muy Baja",'Mapa final'!$AD$151="Moderado"),CONCATENATE("R50C",'Mapa final'!$R$151),"")</f>
        <v/>
      </c>
      <c r="Q255" s="51" t="str">
        <f>IF(AND('Mapa final'!$AB$152="Muy Baja",'Mapa final'!$AD$152="Moderado"),CONCATENATE("R50C",'Mapa final'!$R$152),"")</f>
        <v/>
      </c>
      <c r="R255" s="109" t="str">
        <f>IF(AND('Mapa final'!$AB$153="Muy Baja",'Mapa final'!$AD$153="Moderado"),CONCATENATE("R50C",'Mapa final'!$R$153),"")</f>
        <v/>
      </c>
      <c r="S255" s="104" t="str">
        <f>IF(AND('Mapa final'!$AB$151="Muy Baja",'Mapa final'!$AD$151="Mayor"),CONCATENATE("R50C",'Mapa final'!$R$151),"")</f>
        <v/>
      </c>
      <c r="T255" s="105" t="str">
        <f>IF(AND('Mapa final'!$AB$152="Muy Baja",'Mapa final'!$AD$152="Mayor"),CONCATENATE("R50C",'Mapa final'!$R$152),"")</f>
        <v/>
      </c>
      <c r="U255" s="106" t="str">
        <f>IF(AND('Mapa final'!$AB$153="Muy Baja",'Mapa final'!$AD$153="Mayor"),CONCATENATE("R50C",'Mapa final'!$R$153),"")</f>
        <v/>
      </c>
      <c r="V255" s="44" t="str">
        <f>IF(AND('Mapa final'!$AB$151="Muy Baja",'Mapa final'!$AD$151="Catastrófico"),CONCATENATE("R50C",'Mapa final'!$R$151),"")</f>
        <v/>
      </c>
      <c r="W255" s="45" t="str">
        <f>IF(AND('Mapa final'!$AB$152="Muy Baja",'Mapa final'!$AD$152="Catastrófico"),CONCATENATE("R50C",'Mapa final'!$R$152),"")</f>
        <v/>
      </c>
      <c r="X255" s="98" t="str">
        <f>IF(AND('Mapa final'!$AB$153="Muy Baja",'Mapa final'!$AD$153="Catastrófico"),CONCATENATE("R50C",'Mapa final'!$R$153),"")</f>
        <v/>
      </c>
      <c r="Y255" s="55"/>
      <c r="Z255" s="55"/>
      <c r="AA255" s="55"/>
      <c r="AB255" s="55"/>
      <c r="AC255" s="55"/>
      <c r="AD255" s="55"/>
      <c r="AE255" s="55"/>
      <c r="AF255" s="55"/>
      <c r="AG255" s="55"/>
      <c r="AH255" s="55"/>
      <c r="AI255" s="55"/>
      <c r="AJ255" s="55"/>
      <c r="AK255" s="55"/>
      <c r="AL255" s="55"/>
      <c r="AM255" s="55"/>
      <c r="AN255" s="55"/>
      <c r="AO255" s="55"/>
      <c r="AP255" s="55"/>
      <c r="AQ255" s="55"/>
      <c r="AR255" s="55"/>
      <c r="AS255" s="55"/>
      <c r="AT255" s="55"/>
      <c r="AU255" s="55"/>
      <c r="AV255" s="55"/>
      <c r="AW255" s="55"/>
      <c r="AX255" s="55"/>
      <c r="AY255" s="55"/>
      <c r="AZ255" s="55"/>
      <c r="BA255" s="55"/>
      <c r="BB255" s="55"/>
      <c r="BC255" s="55"/>
      <c r="BD255" s="55"/>
      <c r="BE255" s="55"/>
      <c r="BF255" s="55"/>
      <c r="BG255" s="55"/>
      <c r="BH255" s="55"/>
      <c r="BI255" s="55"/>
      <c r="BJ255" s="55"/>
      <c r="BK255" s="55"/>
      <c r="BL255" s="55"/>
      <c r="BM255" s="55"/>
    </row>
    <row r="256" spans="1:65" x14ac:dyDescent="0.25">
      <c r="A256" s="55"/>
      <c r="B256" s="55"/>
      <c r="C256" s="55"/>
      <c r="D256" s="55"/>
      <c r="E256" s="55"/>
      <c r="F256" s="55"/>
      <c r="G256" s="55"/>
      <c r="H256" s="55"/>
      <c r="I256" s="55"/>
      <c r="J256" s="330" t="s">
        <v>103</v>
      </c>
      <c r="K256" s="305"/>
      <c r="L256" s="305"/>
      <c r="M256" s="304" t="s">
        <v>102</v>
      </c>
      <c r="N256" s="305"/>
      <c r="O256" s="305"/>
      <c r="P256" s="304" t="s">
        <v>101</v>
      </c>
      <c r="Q256" s="305"/>
      <c r="R256" s="305"/>
      <c r="S256" s="304" t="s">
        <v>100</v>
      </c>
      <c r="T256" s="335"/>
      <c r="U256" s="305"/>
      <c r="V256" s="304" t="s">
        <v>99</v>
      </c>
      <c r="W256" s="305"/>
      <c r="X256" s="336"/>
      <c r="Y256" s="55"/>
      <c r="Z256" s="55"/>
      <c r="AA256" s="55"/>
      <c r="AB256" s="55"/>
      <c r="AC256" s="55"/>
      <c r="AD256" s="55"/>
      <c r="AE256" s="55"/>
      <c r="AF256" s="55"/>
      <c r="AG256" s="55"/>
      <c r="AH256" s="55"/>
      <c r="AI256" s="55"/>
      <c r="AJ256" s="55"/>
      <c r="AK256" s="55"/>
      <c r="AL256" s="55"/>
      <c r="AM256" s="55"/>
      <c r="AN256" s="55"/>
      <c r="AO256" s="55"/>
      <c r="AP256" s="55"/>
      <c r="AQ256" s="55"/>
      <c r="AR256" s="55"/>
      <c r="AS256" s="55"/>
      <c r="AT256" s="55"/>
      <c r="AU256" s="55"/>
      <c r="AV256" s="55"/>
      <c r="AW256" s="55"/>
      <c r="AX256" s="55"/>
      <c r="AY256" s="55"/>
      <c r="AZ256" s="55"/>
      <c r="BA256" s="55"/>
      <c r="BB256" s="55"/>
      <c r="BC256" s="55"/>
      <c r="BD256" s="55"/>
      <c r="BE256" s="55"/>
      <c r="BF256" s="55"/>
      <c r="BG256" s="55"/>
      <c r="BH256" s="55"/>
      <c r="BI256" s="55"/>
      <c r="BJ256" s="55"/>
      <c r="BK256" s="55"/>
      <c r="BL256" s="55"/>
      <c r="BM256" s="55"/>
    </row>
    <row r="257" spans="1:65" x14ac:dyDescent="0.25">
      <c r="A257" s="55"/>
      <c r="B257" s="55"/>
      <c r="C257" s="55"/>
      <c r="D257" s="55"/>
      <c r="E257" s="55"/>
      <c r="F257" s="55"/>
      <c r="G257" s="55"/>
      <c r="H257" s="55"/>
      <c r="I257" s="55"/>
      <c r="J257" s="331"/>
      <c r="K257" s="305"/>
      <c r="L257" s="305"/>
      <c r="M257" s="306"/>
      <c r="N257" s="305"/>
      <c r="O257" s="305"/>
      <c r="P257" s="306"/>
      <c r="Q257" s="305"/>
      <c r="R257" s="305"/>
      <c r="S257" s="306"/>
      <c r="T257" s="305"/>
      <c r="U257" s="305"/>
      <c r="V257" s="306"/>
      <c r="W257" s="305"/>
      <c r="X257" s="336"/>
      <c r="Y257" s="55"/>
      <c r="Z257" s="55"/>
      <c r="AA257" s="55"/>
      <c r="AB257" s="55"/>
      <c r="AC257" s="55"/>
      <c r="AD257" s="55"/>
      <c r="AE257" s="55"/>
      <c r="AF257" s="55"/>
      <c r="AG257" s="55"/>
      <c r="AH257" s="55"/>
      <c r="AI257" s="55"/>
      <c r="AJ257" s="55"/>
      <c r="AK257" s="55"/>
      <c r="AL257" s="55"/>
      <c r="AM257" s="55"/>
      <c r="AN257" s="55"/>
      <c r="AO257" s="55"/>
      <c r="AP257" s="55"/>
      <c r="AQ257" s="55"/>
      <c r="AR257" s="55"/>
      <c r="AS257" s="55"/>
      <c r="AT257" s="55"/>
      <c r="AU257" s="55"/>
      <c r="AV257" s="55"/>
      <c r="AW257" s="55"/>
      <c r="AX257" s="55"/>
      <c r="AY257" s="55"/>
      <c r="AZ257" s="55"/>
      <c r="BA257" s="55"/>
      <c r="BB257" s="55"/>
      <c r="BC257" s="55"/>
      <c r="BD257" s="55"/>
      <c r="BE257" s="55"/>
      <c r="BF257" s="55"/>
      <c r="BG257" s="55"/>
      <c r="BH257" s="55"/>
      <c r="BI257" s="55"/>
      <c r="BJ257" s="55"/>
      <c r="BK257" s="55"/>
      <c r="BL257" s="55"/>
      <c r="BM257" s="55"/>
    </row>
    <row r="258" spans="1:65" x14ac:dyDescent="0.25">
      <c r="A258" s="55"/>
      <c r="B258" s="55"/>
      <c r="C258" s="55"/>
      <c r="D258" s="55"/>
      <c r="E258" s="55"/>
      <c r="F258" s="55"/>
      <c r="G258" s="55"/>
      <c r="H258" s="55"/>
      <c r="I258" s="55"/>
      <c r="J258" s="331"/>
      <c r="K258" s="305"/>
      <c r="L258" s="305"/>
      <c r="M258" s="306"/>
      <c r="N258" s="305"/>
      <c r="O258" s="305"/>
      <c r="P258" s="306"/>
      <c r="Q258" s="305"/>
      <c r="R258" s="305"/>
      <c r="S258" s="306"/>
      <c r="T258" s="305"/>
      <c r="U258" s="305"/>
      <c r="V258" s="306"/>
      <c r="W258" s="305"/>
      <c r="X258" s="336"/>
      <c r="Y258" s="55"/>
      <c r="Z258" s="55"/>
      <c r="AA258" s="55"/>
      <c r="AB258" s="55"/>
      <c r="AC258" s="55"/>
      <c r="AD258" s="55"/>
      <c r="AE258" s="55"/>
      <c r="AF258" s="55"/>
      <c r="AG258" s="55"/>
      <c r="AH258" s="55"/>
      <c r="AI258" s="55"/>
      <c r="AJ258" s="55"/>
      <c r="AK258" s="55"/>
      <c r="AL258" s="55"/>
      <c r="AM258" s="55"/>
      <c r="AN258" s="55"/>
      <c r="AO258" s="55"/>
      <c r="AP258" s="55"/>
      <c r="AQ258" s="55"/>
      <c r="AR258" s="55"/>
      <c r="AS258" s="55"/>
      <c r="AT258" s="55"/>
      <c r="AU258" s="55"/>
      <c r="AV258" s="55"/>
      <c r="AW258" s="55"/>
      <c r="AX258" s="55"/>
      <c r="AY258" s="55"/>
      <c r="AZ258" s="55"/>
      <c r="BA258" s="55"/>
      <c r="BB258" s="55"/>
      <c r="BC258" s="55"/>
      <c r="BD258" s="55"/>
      <c r="BE258" s="55"/>
      <c r="BF258" s="55"/>
      <c r="BG258" s="55"/>
      <c r="BH258" s="55"/>
      <c r="BI258" s="55"/>
      <c r="BJ258" s="55"/>
      <c r="BK258" s="55"/>
      <c r="BL258" s="55"/>
      <c r="BM258" s="55"/>
    </row>
    <row r="259" spans="1:65" x14ac:dyDescent="0.25">
      <c r="A259" s="55"/>
      <c r="B259" s="55"/>
      <c r="C259" s="55"/>
      <c r="D259" s="55"/>
      <c r="E259" s="55"/>
      <c r="F259" s="55"/>
      <c r="G259" s="55"/>
      <c r="H259" s="55"/>
      <c r="I259" s="55"/>
      <c r="J259" s="331"/>
      <c r="K259" s="305"/>
      <c r="L259" s="305"/>
      <c r="M259" s="306"/>
      <c r="N259" s="305"/>
      <c r="O259" s="305"/>
      <c r="P259" s="306"/>
      <c r="Q259" s="305"/>
      <c r="R259" s="305"/>
      <c r="S259" s="306"/>
      <c r="T259" s="305"/>
      <c r="U259" s="305"/>
      <c r="V259" s="306"/>
      <c r="W259" s="305"/>
      <c r="X259" s="336"/>
      <c r="Y259" s="55"/>
      <c r="Z259" s="55"/>
      <c r="AA259" s="55"/>
      <c r="AB259" s="55"/>
      <c r="AC259" s="55"/>
      <c r="AD259" s="55"/>
      <c r="AE259" s="55"/>
      <c r="AF259" s="55"/>
      <c r="AG259" s="55"/>
      <c r="AH259" s="55"/>
      <c r="AI259" s="55"/>
      <c r="AJ259" s="55"/>
      <c r="AK259" s="55"/>
      <c r="AL259" s="55"/>
      <c r="AM259" s="55"/>
      <c r="AN259" s="55"/>
      <c r="AO259" s="55"/>
      <c r="AP259" s="55"/>
      <c r="AQ259" s="55"/>
      <c r="AR259" s="55"/>
      <c r="AS259" s="55"/>
      <c r="AT259" s="55"/>
      <c r="AU259" s="55"/>
      <c r="AV259" s="55"/>
      <c r="AW259" s="55"/>
      <c r="AX259" s="55"/>
      <c r="AY259" s="55"/>
      <c r="AZ259" s="55"/>
      <c r="BA259" s="55"/>
      <c r="BB259" s="55"/>
      <c r="BC259" s="55"/>
      <c r="BD259" s="55"/>
      <c r="BE259" s="55"/>
      <c r="BF259" s="55"/>
      <c r="BG259" s="55"/>
      <c r="BH259" s="55"/>
      <c r="BI259" s="55"/>
      <c r="BJ259" s="55"/>
      <c r="BK259" s="55"/>
      <c r="BL259" s="55"/>
      <c r="BM259" s="55"/>
    </row>
    <row r="260" spans="1:65" x14ac:dyDescent="0.25">
      <c r="A260" s="55"/>
      <c r="B260" s="55"/>
      <c r="C260" s="55"/>
      <c r="D260" s="55"/>
      <c r="E260" s="55"/>
      <c r="F260" s="55"/>
      <c r="G260" s="55"/>
      <c r="H260" s="55"/>
      <c r="I260" s="55"/>
      <c r="J260" s="331"/>
      <c r="K260" s="305"/>
      <c r="L260" s="305"/>
      <c r="M260" s="306"/>
      <c r="N260" s="305"/>
      <c r="O260" s="305"/>
      <c r="P260" s="306"/>
      <c r="Q260" s="305"/>
      <c r="R260" s="305"/>
      <c r="S260" s="306"/>
      <c r="T260" s="305"/>
      <c r="U260" s="305"/>
      <c r="V260" s="306"/>
      <c r="W260" s="305"/>
      <c r="X260" s="336"/>
      <c r="Y260" s="55"/>
      <c r="Z260" s="55"/>
      <c r="AA260" s="55"/>
      <c r="AB260" s="55"/>
      <c r="AC260" s="55"/>
      <c r="AD260" s="55"/>
      <c r="AE260" s="55"/>
      <c r="AF260" s="55"/>
      <c r="AG260" s="55"/>
      <c r="AH260" s="55"/>
      <c r="AI260" s="55"/>
      <c r="AJ260" s="55"/>
      <c r="AK260" s="55"/>
      <c r="AL260" s="55"/>
      <c r="AM260" s="55"/>
      <c r="AN260" s="55"/>
      <c r="AO260" s="55"/>
      <c r="AP260" s="55"/>
      <c r="AQ260" s="55"/>
      <c r="AR260" s="55"/>
      <c r="AS260" s="55"/>
      <c r="AT260" s="55"/>
      <c r="AU260" s="55"/>
      <c r="AV260" s="55"/>
      <c r="AW260" s="55"/>
      <c r="AX260" s="55"/>
      <c r="AY260" s="55"/>
      <c r="AZ260" s="55"/>
      <c r="BA260" s="55"/>
      <c r="BB260" s="55"/>
      <c r="BC260" s="55"/>
      <c r="BD260" s="55"/>
      <c r="BE260" s="55"/>
      <c r="BF260" s="55"/>
      <c r="BG260" s="55"/>
      <c r="BH260" s="55"/>
      <c r="BI260" s="55"/>
      <c r="BJ260" s="55"/>
      <c r="BK260" s="55"/>
      <c r="BL260" s="55"/>
      <c r="BM260" s="55"/>
    </row>
    <row r="261" spans="1:65" ht="15.75" thickBot="1" x14ac:dyDescent="0.3">
      <c r="A261" s="55"/>
      <c r="B261" s="55"/>
      <c r="C261" s="55"/>
      <c r="D261" s="55"/>
      <c r="E261" s="55"/>
      <c r="F261" s="55"/>
      <c r="G261" s="55"/>
      <c r="H261" s="55"/>
      <c r="I261" s="55"/>
      <c r="J261" s="332"/>
      <c r="K261" s="333"/>
      <c r="L261" s="333"/>
      <c r="M261" s="334"/>
      <c r="N261" s="333"/>
      <c r="O261" s="333"/>
      <c r="P261" s="334"/>
      <c r="Q261" s="333"/>
      <c r="R261" s="333"/>
      <c r="S261" s="334"/>
      <c r="T261" s="333"/>
      <c r="U261" s="333"/>
      <c r="V261" s="334"/>
      <c r="W261" s="333"/>
      <c r="X261" s="337"/>
      <c r="Y261" s="55"/>
      <c r="Z261" s="55"/>
      <c r="AA261" s="55"/>
      <c r="AB261" s="55"/>
      <c r="AC261" s="55"/>
      <c r="AD261" s="55"/>
      <c r="AE261" s="55"/>
      <c r="AF261" s="55"/>
      <c r="AG261" s="55"/>
      <c r="AH261" s="55"/>
      <c r="AI261" s="55"/>
      <c r="AJ261" s="55"/>
      <c r="AK261" s="55"/>
      <c r="AL261" s="55"/>
      <c r="AM261" s="55"/>
      <c r="AN261" s="55"/>
      <c r="AO261" s="55"/>
      <c r="AP261" s="55"/>
      <c r="AQ261" s="55"/>
      <c r="AR261" s="55"/>
      <c r="AS261" s="55"/>
      <c r="AT261" s="55"/>
      <c r="AU261" s="55"/>
      <c r="AV261" s="55"/>
      <c r="AW261" s="55"/>
      <c r="AX261" s="55"/>
      <c r="AY261" s="55"/>
      <c r="AZ261" s="55"/>
      <c r="BA261" s="55"/>
      <c r="BB261" s="55"/>
      <c r="BC261" s="55"/>
      <c r="BD261" s="55"/>
      <c r="BE261" s="55"/>
      <c r="BF261" s="55"/>
      <c r="BG261" s="55"/>
      <c r="BH261" s="55"/>
      <c r="BI261" s="55"/>
      <c r="BJ261" s="55"/>
      <c r="BK261" s="55"/>
      <c r="BL261" s="55"/>
      <c r="BM261" s="55"/>
    </row>
    <row r="262" spans="1:65" x14ac:dyDescent="0.25">
      <c r="A262" s="55"/>
      <c r="B262" s="55"/>
      <c r="C262" s="55"/>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row>
    <row r="263" spans="1:65" ht="15" customHeight="1" x14ac:dyDescent="0.25">
      <c r="A263" s="55"/>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c r="AA263" s="59"/>
      <c r="AB263" s="59"/>
      <c r="AC263" s="59"/>
      <c r="AD263" s="59"/>
      <c r="AE263" s="59"/>
      <c r="AF263" s="55"/>
      <c r="AG263" s="55"/>
      <c r="AH263" s="55"/>
      <c r="AI263" s="55"/>
      <c r="AJ263" s="55"/>
      <c r="AK263" s="55"/>
      <c r="AL263" s="55"/>
      <c r="AM263" s="55"/>
      <c r="AN263" s="55"/>
      <c r="AO263" s="55"/>
      <c r="AP263" s="55"/>
      <c r="AQ263" s="55"/>
      <c r="AR263" s="55"/>
      <c r="AS263" s="55"/>
    </row>
    <row r="264" spans="1:65" ht="15" customHeight="1" x14ac:dyDescent="0.25">
      <c r="A264" s="55"/>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c r="AA264" s="59"/>
      <c r="AB264" s="59"/>
      <c r="AC264" s="59"/>
      <c r="AD264" s="59"/>
      <c r="AE264" s="59"/>
      <c r="AF264" s="55"/>
      <c r="AG264" s="55"/>
      <c r="AH264" s="55"/>
      <c r="AI264" s="55"/>
      <c r="AJ264" s="55"/>
      <c r="AK264" s="55"/>
      <c r="AL264" s="55"/>
      <c r="AM264" s="55"/>
      <c r="AN264" s="55"/>
      <c r="AO264" s="55"/>
      <c r="AP264" s="55"/>
      <c r="AQ264" s="55"/>
      <c r="AR264" s="55"/>
      <c r="AS264" s="55"/>
    </row>
    <row r="265" spans="1:65" x14ac:dyDescent="0.25">
      <c r="A265" s="55"/>
      <c r="B265" s="55"/>
      <c r="C265" s="55"/>
      <c r="D265" s="55"/>
      <c r="E265" s="55"/>
      <c r="F265" s="55"/>
      <c r="G265" s="55"/>
      <c r="H265" s="55"/>
      <c r="I265" s="55"/>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row>
    <row r="266" spans="1:65" x14ac:dyDescent="0.25">
      <c r="A266" s="55"/>
      <c r="B266" s="55"/>
      <c r="C266" s="55"/>
      <c r="D266" s="55"/>
      <c r="E266" s="55"/>
      <c r="F266" s="55"/>
      <c r="G266" s="55"/>
      <c r="H266" s="55"/>
      <c r="I266" s="55"/>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5"/>
      <c r="AJ266" s="55"/>
      <c r="AK266" s="55"/>
      <c r="AL266" s="55"/>
      <c r="AM266" s="55"/>
      <c r="AN266" s="55"/>
      <c r="AO266" s="55"/>
      <c r="AP266" s="55"/>
      <c r="AQ266" s="55"/>
      <c r="AR266" s="55"/>
      <c r="AS266" s="55"/>
    </row>
    <row r="267" spans="1:65" x14ac:dyDescent="0.25">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5"/>
      <c r="AJ267" s="55"/>
      <c r="AK267" s="55"/>
      <c r="AL267" s="55"/>
      <c r="AM267" s="55"/>
      <c r="AN267" s="55"/>
      <c r="AO267" s="55"/>
      <c r="AP267" s="55"/>
      <c r="AQ267" s="55"/>
      <c r="AR267" s="55"/>
      <c r="AS267" s="55"/>
    </row>
    <row r="268" spans="1:65" x14ac:dyDescent="0.25">
      <c r="A268" s="55"/>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row>
    <row r="269" spans="1:65" x14ac:dyDescent="0.25">
      <c r="A269" s="55"/>
      <c r="B269" s="55"/>
      <c r="C269" s="55"/>
      <c r="D269" s="55"/>
      <c r="E269" s="55"/>
      <c r="F269" s="55"/>
      <c r="G269" s="55"/>
      <c r="H269" s="55"/>
      <c r="I269" s="55"/>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5"/>
      <c r="AJ269" s="55"/>
      <c r="AK269" s="55"/>
      <c r="AL269" s="55"/>
      <c r="AM269" s="55"/>
      <c r="AN269" s="55"/>
      <c r="AO269" s="55"/>
      <c r="AP269" s="55"/>
      <c r="AQ269" s="55"/>
      <c r="AR269" s="55"/>
      <c r="AS269" s="55"/>
    </row>
    <row r="270" spans="1:65" x14ac:dyDescent="0.25">
      <c r="A270" s="55"/>
      <c r="B270" s="55"/>
      <c r="C270" s="55"/>
      <c r="D270" s="55"/>
      <c r="E270" s="55"/>
      <c r="F270" s="55"/>
      <c r="G270" s="55"/>
      <c r="H270" s="55"/>
      <c r="I270" s="55"/>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5"/>
      <c r="AJ270" s="55"/>
      <c r="AK270" s="55"/>
      <c r="AL270" s="55"/>
      <c r="AM270" s="55"/>
      <c r="AN270" s="55"/>
      <c r="AO270" s="55"/>
      <c r="AP270" s="55"/>
      <c r="AQ270" s="55"/>
      <c r="AR270" s="55"/>
      <c r="AS270" s="55"/>
    </row>
    <row r="271" spans="1:65" x14ac:dyDescent="0.25">
      <c r="A271" s="55"/>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5"/>
      <c r="AJ271" s="55"/>
      <c r="AK271" s="55"/>
      <c r="AL271" s="55"/>
      <c r="AM271" s="55"/>
      <c r="AN271" s="55"/>
      <c r="AO271" s="55"/>
      <c r="AP271" s="55"/>
      <c r="AQ271" s="55"/>
      <c r="AR271" s="55"/>
      <c r="AS271" s="55"/>
    </row>
    <row r="272" spans="1:65" x14ac:dyDescent="0.25">
      <c r="A272" s="55"/>
      <c r="B272" s="55"/>
      <c r="C272" s="55"/>
      <c r="D272" s="55"/>
      <c r="E272" s="55"/>
      <c r="F272" s="55"/>
      <c r="G272" s="55"/>
      <c r="H272" s="55"/>
      <c r="I272" s="55"/>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5"/>
      <c r="AJ272" s="55"/>
      <c r="AK272" s="55"/>
      <c r="AL272" s="55"/>
      <c r="AM272" s="55"/>
      <c r="AN272" s="55"/>
      <c r="AO272" s="55"/>
      <c r="AP272" s="55"/>
      <c r="AQ272" s="55"/>
      <c r="AR272" s="55"/>
      <c r="AS272" s="55"/>
    </row>
    <row r="273" spans="1:45" x14ac:dyDescent="0.25">
      <c r="A273" s="55"/>
      <c r="B273" s="55"/>
      <c r="C273" s="55"/>
      <c r="D273" s="55"/>
      <c r="E273" s="55"/>
      <c r="F273" s="55"/>
      <c r="G273" s="55"/>
      <c r="H273" s="55"/>
      <c r="I273" s="55"/>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5"/>
      <c r="AJ273" s="55"/>
      <c r="AK273" s="55"/>
      <c r="AL273" s="55"/>
      <c r="AM273" s="55"/>
      <c r="AN273" s="55"/>
      <c r="AO273" s="55"/>
      <c r="AP273" s="55"/>
      <c r="AQ273" s="55"/>
      <c r="AR273" s="55"/>
      <c r="AS273" s="55"/>
    </row>
    <row r="274" spans="1:45" x14ac:dyDescent="0.25">
      <c r="A274" s="55"/>
      <c r="B274" s="55"/>
      <c r="C274" s="55"/>
      <c r="D274" s="55"/>
      <c r="E274" s="55"/>
      <c r="F274" s="55"/>
      <c r="G274" s="55"/>
      <c r="H274" s="55"/>
      <c r="I274" s="55"/>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row>
    <row r="275" spans="1:45" x14ac:dyDescent="0.25">
      <c r="A275" s="55"/>
      <c r="B275" s="55"/>
      <c r="C275" s="55"/>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row>
    <row r="276" spans="1:45" x14ac:dyDescent="0.25">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5"/>
      <c r="AJ276" s="55"/>
      <c r="AK276" s="55"/>
      <c r="AL276" s="55"/>
      <c r="AM276" s="55"/>
      <c r="AN276" s="55"/>
      <c r="AO276" s="55"/>
      <c r="AP276" s="55"/>
      <c r="AQ276" s="55"/>
      <c r="AR276" s="55"/>
      <c r="AS276" s="55"/>
    </row>
    <row r="277" spans="1:45" x14ac:dyDescent="0.25">
      <c r="A277" s="55"/>
      <c r="B277" s="55"/>
      <c r="C277" s="55"/>
      <c r="D277" s="55"/>
      <c r="E277" s="55"/>
      <c r="F277" s="55"/>
      <c r="G277" s="55"/>
      <c r="H277" s="55"/>
      <c r="I277" s="55"/>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5"/>
      <c r="AJ277" s="55"/>
      <c r="AK277" s="55"/>
      <c r="AL277" s="55"/>
      <c r="AM277" s="55"/>
      <c r="AN277" s="55"/>
      <c r="AO277" s="55"/>
      <c r="AP277" s="55"/>
      <c r="AQ277" s="55"/>
      <c r="AR277" s="55"/>
      <c r="AS277" s="55"/>
    </row>
    <row r="278" spans="1:45" x14ac:dyDescent="0.25">
      <c r="A278" s="55"/>
      <c r="B278" s="55"/>
      <c r="C278" s="55"/>
      <c r="D278" s="55"/>
      <c r="E278" s="55"/>
      <c r="F278" s="55"/>
      <c r="G278" s="55"/>
      <c r="H278" s="55"/>
      <c r="I278" s="55"/>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5"/>
      <c r="AJ278" s="55"/>
      <c r="AK278" s="55"/>
      <c r="AL278" s="55"/>
      <c r="AM278" s="55"/>
      <c r="AN278" s="55"/>
      <c r="AO278" s="55"/>
      <c r="AP278" s="55"/>
      <c r="AQ278" s="55"/>
      <c r="AR278" s="55"/>
      <c r="AS278" s="55"/>
    </row>
    <row r="279" spans="1:45" x14ac:dyDescent="0.25">
      <c r="A279" s="55"/>
      <c r="B279" s="55"/>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c r="AS279" s="55"/>
    </row>
    <row r="280" spans="1:45" x14ac:dyDescent="0.25">
      <c r="A280" s="55"/>
      <c r="B280" s="55"/>
      <c r="C280" s="55"/>
      <c r="D280" s="55"/>
      <c r="E280" s="55"/>
      <c r="F280" s="55"/>
      <c r="G280" s="55"/>
      <c r="H280" s="55"/>
      <c r="I280" s="55"/>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5"/>
      <c r="AJ280" s="55"/>
      <c r="AK280" s="55"/>
      <c r="AL280" s="55"/>
      <c r="AM280" s="55"/>
      <c r="AN280" s="55"/>
      <c r="AO280" s="55"/>
      <c r="AP280" s="55"/>
      <c r="AQ280" s="55"/>
      <c r="AR280" s="55"/>
      <c r="AS280" s="55"/>
    </row>
    <row r="281" spans="1:45" x14ac:dyDescent="0.25">
      <c r="A281" s="55"/>
      <c r="B281" s="55"/>
      <c r="C281" s="55"/>
      <c r="D281" s="55"/>
      <c r="E281" s="55"/>
      <c r="F281" s="55"/>
      <c r="G281" s="55"/>
      <c r="H281" s="55"/>
      <c r="I281" s="55"/>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5"/>
      <c r="AJ281" s="55"/>
      <c r="AK281" s="55"/>
      <c r="AL281" s="55"/>
      <c r="AM281" s="55"/>
      <c r="AN281" s="55"/>
      <c r="AO281" s="55"/>
      <c r="AP281" s="55"/>
      <c r="AQ281" s="55"/>
      <c r="AR281" s="55"/>
      <c r="AS281" s="55"/>
    </row>
    <row r="282" spans="1:45" x14ac:dyDescent="0.25">
      <c r="A282" s="55"/>
      <c r="B282" s="55"/>
      <c r="C282" s="55"/>
      <c r="D282" s="55"/>
      <c r="E282" s="55"/>
      <c r="F282" s="55"/>
      <c r="G282" s="55"/>
      <c r="H282" s="55"/>
      <c r="I282" s="55"/>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5"/>
      <c r="AJ282" s="55"/>
      <c r="AK282" s="55"/>
      <c r="AL282" s="55"/>
      <c r="AM282" s="55"/>
      <c r="AN282" s="55"/>
      <c r="AO282" s="55"/>
      <c r="AP282" s="55"/>
      <c r="AQ282" s="55"/>
      <c r="AR282" s="55"/>
      <c r="AS282" s="55"/>
    </row>
    <row r="283" spans="1:45" x14ac:dyDescent="0.25">
      <c r="A283" s="55"/>
      <c r="B283" s="55"/>
      <c r="C283" s="55"/>
      <c r="D283" s="55"/>
      <c r="E283" s="55"/>
      <c r="F283" s="55"/>
      <c r="G283" s="55"/>
      <c r="H283" s="55"/>
      <c r="I283" s="55"/>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row>
    <row r="284" spans="1:45" x14ac:dyDescent="0.25">
      <c r="A284" s="55"/>
      <c r="B284" s="55"/>
      <c r="C284" s="55"/>
      <c r="D284" s="55"/>
      <c r="E284" s="55"/>
      <c r="F284" s="55"/>
      <c r="G284" s="55"/>
      <c r="H284" s="55"/>
      <c r="I284" s="55"/>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5"/>
      <c r="AJ284" s="55"/>
      <c r="AK284" s="55"/>
      <c r="AL284" s="55"/>
      <c r="AM284" s="55"/>
      <c r="AN284" s="55"/>
      <c r="AO284" s="55"/>
      <c r="AP284" s="55"/>
      <c r="AQ284" s="55"/>
      <c r="AR284" s="55"/>
      <c r="AS284" s="55"/>
    </row>
    <row r="285" spans="1:45" x14ac:dyDescent="0.25">
      <c r="A285" s="55"/>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5"/>
      <c r="AJ285" s="55"/>
      <c r="AK285" s="55"/>
      <c r="AL285" s="55"/>
      <c r="AM285" s="55"/>
      <c r="AN285" s="55"/>
      <c r="AO285" s="55"/>
      <c r="AP285" s="55"/>
      <c r="AQ285" s="55"/>
      <c r="AR285" s="55"/>
      <c r="AS285" s="55"/>
    </row>
    <row r="286" spans="1:45" x14ac:dyDescent="0.25">
      <c r="A286" s="55"/>
      <c r="B286" s="55"/>
      <c r="C286" s="55"/>
      <c r="D286" s="55"/>
      <c r="E286" s="55"/>
      <c r="F286" s="55"/>
      <c r="G286" s="55"/>
      <c r="H286" s="55"/>
      <c r="I286" s="55"/>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5"/>
      <c r="AJ286" s="55"/>
      <c r="AK286" s="55"/>
      <c r="AL286" s="55"/>
      <c r="AM286" s="55"/>
      <c r="AN286" s="55"/>
      <c r="AO286" s="55"/>
      <c r="AP286" s="55"/>
      <c r="AQ286" s="55"/>
      <c r="AR286" s="55"/>
      <c r="AS286" s="55"/>
    </row>
    <row r="287" spans="1:45" x14ac:dyDescent="0.25">
      <c r="A287" s="55"/>
      <c r="B287" s="55"/>
      <c r="C287" s="55"/>
      <c r="D287" s="55"/>
      <c r="E287" s="55"/>
      <c r="F287" s="55"/>
      <c r="G287" s="55"/>
      <c r="H287" s="55"/>
      <c r="I287" s="55"/>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5"/>
      <c r="AJ287" s="55"/>
      <c r="AK287" s="55"/>
      <c r="AL287" s="55"/>
      <c r="AM287" s="55"/>
      <c r="AN287" s="55"/>
      <c r="AO287" s="55"/>
      <c r="AP287" s="55"/>
      <c r="AQ287" s="55"/>
      <c r="AR287" s="55"/>
      <c r="AS287" s="55"/>
    </row>
    <row r="288" spans="1:45" x14ac:dyDescent="0.25">
      <c r="A288" s="55"/>
      <c r="B288" s="55"/>
      <c r="C288" s="55"/>
      <c r="D288" s="55"/>
      <c r="E288" s="55"/>
      <c r="F288" s="55"/>
      <c r="G288" s="55"/>
      <c r="H288" s="55"/>
      <c r="I288" s="55"/>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5"/>
      <c r="AJ288" s="55"/>
      <c r="AK288" s="55"/>
      <c r="AL288" s="55"/>
      <c r="AM288" s="55"/>
      <c r="AN288" s="55"/>
      <c r="AO288" s="55"/>
      <c r="AP288" s="55"/>
      <c r="AQ288" s="55"/>
      <c r="AR288" s="55"/>
      <c r="AS288" s="55"/>
    </row>
    <row r="289" spans="1:45" x14ac:dyDescent="0.25">
      <c r="A289" s="55"/>
      <c r="B289" s="55"/>
      <c r="C289" s="55"/>
      <c r="D289" s="55"/>
      <c r="E289" s="55"/>
      <c r="F289" s="55"/>
      <c r="G289" s="55"/>
      <c r="H289" s="55"/>
      <c r="I289" s="55"/>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5"/>
      <c r="AJ289" s="55"/>
      <c r="AK289" s="55"/>
      <c r="AL289" s="55"/>
      <c r="AM289" s="55"/>
      <c r="AN289" s="55"/>
      <c r="AO289" s="55"/>
      <c r="AP289" s="55"/>
      <c r="AQ289" s="55"/>
      <c r="AR289" s="55"/>
      <c r="AS289" s="55"/>
    </row>
    <row r="290" spans="1:45" x14ac:dyDescent="0.25">
      <c r="A290" s="55"/>
      <c r="B290" s="55"/>
      <c r="C290" s="55"/>
      <c r="D290" s="55"/>
      <c r="E290" s="55"/>
      <c r="F290" s="55"/>
      <c r="G290" s="55"/>
      <c r="H290" s="55"/>
      <c r="I290" s="55"/>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5"/>
      <c r="AJ290" s="55"/>
      <c r="AK290" s="55"/>
      <c r="AL290" s="55"/>
      <c r="AM290" s="55"/>
      <c r="AN290" s="55"/>
      <c r="AO290" s="55"/>
      <c r="AP290" s="55"/>
      <c r="AQ290" s="55"/>
      <c r="AR290" s="55"/>
      <c r="AS290" s="55"/>
    </row>
    <row r="291" spans="1:45" x14ac:dyDescent="0.25">
      <c r="A291" s="55"/>
      <c r="B291" s="55"/>
      <c r="C291" s="55"/>
      <c r="D291" s="55"/>
      <c r="E291" s="55"/>
      <c r="F291" s="55"/>
      <c r="G291" s="55"/>
      <c r="H291" s="55"/>
      <c r="I291" s="55"/>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5"/>
      <c r="AJ291" s="55"/>
      <c r="AK291" s="55"/>
      <c r="AL291" s="55"/>
      <c r="AM291" s="55"/>
      <c r="AN291" s="55"/>
      <c r="AO291" s="55"/>
      <c r="AP291" s="55"/>
      <c r="AQ291" s="55"/>
      <c r="AR291" s="55"/>
      <c r="AS291" s="55"/>
    </row>
    <row r="292" spans="1:45" x14ac:dyDescent="0.25">
      <c r="A292" s="55"/>
      <c r="B292" s="55"/>
      <c r="C292" s="55"/>
      <c r="D292" s="55"/>
      <c r="E292" s="55"/>
      <c r="F292" s="55"/>
      <c r="G292" s="55"/>
      <c r="H292" s="55"/>
      <c r="I292" s="55"/>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5"/>
      <c r="AJ292" s="55"/>
      <c r="AK292" s="55"/>
      <c r="AL292" s="55"/>
      <c r="AM292" s="55"/>
      <c r="AN292" s="55"/>
      <c r="AO292" s="55"/>
      <c r="AP292" s="55"/>
      <c r="AQ292" s="55"/>
      <c r="AR292" s="55"/>
      <c r="AS292" s="55"/>
    </row>
    <row r="293" spans="1:45" x14ac:dyDescent="0.25">
      <c r="A293" s="55"/>
      <c r="B293" s="55"/>
      <c r="C293" s="55"/>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row>
    <row r="294" spans="1:45" x14ac:dyDescent="0.25">
      <c r="A294" s="55"/>
      <c r="B294" s="55"/>
      <c r="C294" s="55"/>
      <c r="D294" s="55"/>
      <c r="E294" s="55"/>
      <c r="F294" s="55"/>
      <c r="G294" s="55"/>
      <c r="H294" s="55"/>
      <c r="I294" s="55"/>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5"/>
      <c r="AJ294" s="55"/>
      <c r="AK294" s="55"/>
      <c r="AL294" s="55"/>
      <c r="AM294" s="55"/>
      <c r="AN294" s="55"/>
      <c r="AO294" s="55"/>
      <c r="AP294" s="55"/>
      <c r="AQ294" s="55"/>
      <c r="AR294" s="55"/>
      <c r="AS294" s="55"/>
    </row>
    <row r="295" spans="1:45" x14ac:dyDescent="0.25">
      <c r="A295" s="55"/>
      <c r="B295" s="55"/>
      <c r="C295" s="55"/>
      <c r="D295" s="55"/>
      <c r="E295" s="55"/>
      <c r="F295" s="55"/>
      <c r="G295" s="55"/>
      <c r="H295" s="55"/>
      <c r="I295" s="55"/>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5"/>
      <c r="AJ295" s="55"/>
      <c r="AK295" s="55"/>
      <c r="AL295" s="55"/>
      <c r="AM295" s="55"/>
      <c r="AN295" s="55"/>
      <c r="AO295" s="55"/>
      <c r="AP295" s="55"/>
      <c r="AQ295" s="55"/>
      <c r="AR295" s="55"/>
      <c r="AS295" s="55"/>
    </row>
    <row r="296" spans="1:45" x14ac:dyDescent="0.25">
      <c r="A296" s="55"/>
      <c r="B296" s="55"/>
      <c r="C296" s="55"/>
      <c r="D296" s="55"/>
      <c r="E296" s="55"/>
      <c r="F296" s="55"/>
      <c r="G296" s="55"/>
      <c r="H296" s="55"/>
      <c r="I296" s="55"/>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5"/>
      <c r="AJ296" s="55"/>
      <c r="AK296" s="55"/>
      <c r="AL296" s="55"/>
      <c r="AM296" s="55"/>
      <c r="AN296" s="55"/>
      <c r="AO296" s="55"/>
      <c r="AP296" s="55"/>
      <c r="AQ296" s="55"/>
      <c r="AR296" s="55"/>
      <c r="AS296" s="55"/>
    </row>
    <row r="297" spans="1:45" x14ac:dyDescent="0.25">
      <c r="A297" s="55"/>
      <c r="B297" s="55"/>
      <c r="C297" s="55"/>
      <c r="D297" s="55"/>
      <c r="E297" s="55"/>
      <c r="F297" s="55"/>
      <c r="G297" s="55"/>
      <c r="H297" s="55"/>
      <c r="I297" s="55"/>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5"/>
      <c r="AJ297" s="55"/>
      <c r="AK297" s="55"/>
      <c r="AL297" s="55"/>
      <c r="AM297" s="55"/>
      <c r="AN297" s="55"/>
      <c r="AO297" s="55"/>
      <c r="AP297" s="55"/>
      <c r="AQ297" s="55"/>
      <c r="AR297" s="55"/>
      <c r="AS297" s="55"/>
    </row>
    <row r="298" spans="1:45" x14ac:dyDescent="0.25">
      <c r="A298" s="55"/>
      <c r="B298" s="55"/>
      <c r="C298" s="55"/>
      <c r="D298" s="55"/>
      <c r="E298" s="55"/>
      <c r="F298" s="55"/>
      <c r="G298" s="55"/>
      <c r="H298" s="55"/>
      <c r="I298" s="55"/>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5"/>
      <c r="AJ298" s="55"/>
      <c r="AK298" s="55"/>
      <c r="AL298" s="55"/>
      <c r="AM298" s="55"/>
      <c r="AN298" s="55"/>
      <c r="AO298" s="55"/>
      <c r="AP298" s="55"/>
      <c r="AQ298" s="55"/>
      <c r="AR298" s="55"/>
      <c r="AS298" s="55"/>
    </row>
    <row r="299" spans="1:45" x14ac:dyDescent="0.25">
      <c r="A299" s="55"/>
      <c r="B299" s="55"/>
      <c r="C299" s="55"/>
      <c r="D299" s="55"/>
      <c r="E299" s="55"/>
      <c r="F299" s="55"/>
      <c r="G299" s="55"/>
      <c r="H299" s="55"/>
      <c r="I299" s="55"/>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5"/>
      <c r="AJ299" s="55"/>
      <c r="AK299" s="55"/>
      <c r="AL299" s="55"/>
      <c r="AM299" s="55"/>
      <c r="AN299" s="55"/>
      <c r="AO299" s="55"/>
      <c r="AP299" s="55"/>
      <c r="AQ299" s="55"/>
      <c r="AR299" s="55"/>
      <c r="AS299" s="55"/>
    </row>
    <row r="300" spans="1:45" x14ac:dyDescent="0.25">
      <c r="A300" s="55"/>
      <c r="B300" s="55"/>
      <c r="C300" s="55"/>
      <c r="D300" s="55"/>
      <c r="E300" s="55"/>
      <c r="F300" s="55"/>
      <c r="G300" s="55"/>
      <c r="H300" s="55"/>
      <c r="I300" s="55"/>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5"/>
      <c r="AJ300" s="55"/>
      <c r="AK300" s="55"/>
      <c r="AL300" s="55"/>
      <c r="AM300" s="55"/>
      <c r="AN300" s="55"/>
      <c r="AO300" s="55"/>
      <c r="AP300" s="55"/>
      <c r="AQ300" s="55"/>
      <c r="AR300" s="55"/>
      <c r="AS300" s="55"/>
    </row>
    <row r="301" spans="1:45" x14ac:dyDescent="0.25">
      <c r="A301" s="55"/>
      <c r="B301" s="55"/>
      <c r="C301" s="55"/>
      <c r="D301" s="55"/>
      <c r="E301" s="55"/>
      <c r="F301" s="55"/>
      <c r="G301" s="55"/>
      <c r="H301" s="55"/>
      <c r="I301" s="55"/>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5"/>
      <c r="AJ301" s="55"/>
      <c r="AK301" s="55"/>
      <c r="AL301" s="55"/>
      <c r="AM301" s="55"/>
      <c r="AN301" s="55"/>
      <c r="AO301" s="55"/>
      <c r="AP301" s="55"/>
      <c r="AQ301" s="55"/>
      <c r="AR301" s="55"/>
      <c r="AS301" s="55"/>
    </row>
    <row r="302" spans="1:45" x14ac:dyDescent="0.25">
      <c r="A302" s="55"/>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c r="AS302" s="55"/>
    </row>
    <row r="303" spans="1:45" x14ac:dyDescent="0.25">
      <c r="A303" s="55"/>
      <c r="B303" s="55"/>
      <c r="C303" s="55"/>
      <c r="D303" s="55"/>
      <c r="E303" s="55"/>
      <c r="F303" s="55"/>
      <c r="G303" s="55"/>
      <c r="H303" s="55"/>
      <c r="I303" s="55"/>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5"/>
      <c r="AJ303" s="55"/>
      <c r="AK303" s="55"/>
      <c r="AL303" s="55"/>
      <c r="AM303" s="55"/>
      <c r="AN303" s="55"/>
      <c r="AO303" s="55"/>
      <c r="AP303" s="55"/>
      <c r="AQ303" s="55"/>
      <c r="AR303" s="55"/>
      <c r="AS303" s="55"/>
    </row>
    <row r="304" spans="1:45" x14ac:dyDescent="0.25">
      <c r="A304" s="55"/>
      <c r="B304" s="55"/>
      <c r="C304" s="55"/>
      <c r="D304" s="55"/>
      <c r="E304" s="55"/>
      <c r="F304" s="55"/>
      <c r="G304" s="55"/>
      <c r="H304" s="55"/>
      <c r="I304" s="55"/>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5"/>
      <c r="AJ304" s="55"/>
      <c r="AK304" s="55"/>
      <c r="AL304" s="55"/>
      <c r="AM304" s="55"/>
      <c r="AN304" s="55"/>
      <c r="AO304" s="55"/>
      <c r="AP304" s="55"/>
      <c r="AQ304" s="55"/>
      <c r="AR304" s="55"/>
      <c r="AS304" s="55"/>
    </row>
    <row r="305" spans="1:45" x14ac:dyDescent="0.25">
      <c r="A305" s="55"/>
      <c r="B305" s="55"/>
      <c r="C305" s="55"/>
      <c r="D305" s="55"/>
      <c r="E305" s="55"/>
      <c r="F305" s="55"/>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row>
    <row r="306" spans="1:45" x14ac:dyDescent="0.25">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row>
    <row r="307" spans="1:45" x14ac:dyDescent="0.25">
      <c r="A307" s="55"/>
      <c r="B307" s="55"/>
      <c r="C307" s="55"/>
      <c r="D307" s="55"/>
      <c r="E307" s="55"/>
      <c r="F307" s="55"/>
      <c r="G307" s="55"/>
      <c r="H307" s="55"/>
      <c r="I307" s="55"/>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5"/>
      <c r="AJ307" s="55"/>
      <c r="AK307" s="55"/>
      <c r="AL307" s="55"/>
      <c r="AM307" s="55"/>
      <c r="AN307" s="55"/>
      <c r="AO307" s="55"/>
      <c r="AP307" s="55"/>
      <c r="AQ307" s="55"/>
      <c r="AR307" s="55"/>
      <c r="AS307" s="55"/>
    </row>
    <row r="308" spans="1:45" x14ac:dyDescent="0.25">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c r="AS308" s="55"/>
    </row>
    <row r="309" spans="1:45" x14ac:dyDescent="0.25">
      <c r="A309" s="55"/>
      <c r="B309" s="55"/>
      <c r="C309" s="55"/>
      <c r="D309" s="55"/>
      <c r="E309" s="55"/>
      <c r="F309" s="55"/>
      <c r="G309" s="55"/>
      <c r="H309" s="55"/>
      <c r="I309" s="55"/>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5"/>
      <c r="AJ309" s="55"/>
      <c r="AK309" s="55"/>
      <c r="AL309" s="55"/>
      <c r="AM309" s="55"/>
      <c r="AN309" s="55"/>
      <c r="AO309" s="55"/>
      <c r="AP309" s="55"/>
      <c r="AQ309" s="55"/>
      <c r="AR309" s="55"/>
      <c r="AS309" s="55"/>
    </row>
    <row r="310" spans="1:45" x14ac:dyDescent="0.25">
      <c r="A310" s="55"/>
      <c r="B310" s="55"/>
      <c r="C310" s="55"/>
      <c r="D310" s="55"/>
      <c r="E310" s="55"/>
      <c r="F310" s="55"/>
      <c r="G310" s="55"/>
      <c r="H310" s="55"/>
      <c r="I310" s="55"/>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5"/>
      <c r="AJ310" s="55"/>
      <c r="AK310" s="55"/>
      <c r="AL310" s="55"/>
      <c r="AM310" s="55"/>
      <c r="AN310" s="55"/>
      <c r="AO310" s="55"/>
      <c r="AP310" s="55"/>
      <c r="AQ310" s="55"/>
      <c r="AR310" s="55"/>
      <c r="AS310" s="55"/>
    </row>
    <row r="311" spans="1:45" x14ac:dyDescent="0.25">
      <c r="A311" s="55"/>
      <c r="B311" s="55"/>
      <c r="C311" s="55"/>
      <c r="D311" s="55"/>
      <c r="E311" s="55"/>
      <c r="F311" s="55"/>
      <c r="G311" s="55"/>
      <c r="H311" s="55"/>
      <c r="I311" s="55"/>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5"/>
      <c r="AJ311" s="55"/>
      <c r="AK311" s="55"/>
      <c r="AL311" s="55"/>
      <c r="AM311" s="55"/>
      <c r="AN311" s="55"/>
      <c r="AO311" s="55"/>
      <c r="AP311" s="55"/>
      <c r="AQ311" s="55"/>
      <c r="AR311" s="55"/>
      <c r="AS311" s="55"/>
    </row>
    <row r="312" spans="1:45" x14ac:dyDescent="0.25">
      <c r="A312" s="55"/>
      <c r="B312" s="55"/>
      <c r="C312" s="55"/>
      <c r="D312" s="55"/>
      <c r="E312" s="55"/>
      <c r="F312" s="55"/>
      <c r="G312" s="55"/>
      <c r="H312" s="55"/>
      <c r="I312" s="55"/>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c r="AP312" s="55"/>
      <c r="AQ312" s="55"/>
      <c r="AR312" s="55"/>
      <c r="AS312" s="55"/>
    </row>
    <row r="313" spans="1:45" x14ac:dyDescent="0.25">
      <c r="A313" s="55"/>
      <c r="B313" s="55"/>
      <c r="C313" s="55"/>
      <c r="D313" s="55"/>
      <c r="E313" s="55"/>
      <c r="F313" s="55"/>
      <c r="G313" s="55"/>
      <c r="H313" s="55"/>
      <c r="I313" s="55"/>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5"/>
      <c r="AJ313" s="55"/>
      <c r="AK313" s="55"/>
      <c r="AL313" s="55"/>
      <c r="AM313" s="55"/>
      <c r="AN313" s="55"/>
      <c r="AO313" s="55"/>
      <c r="AP313" s="55"/>
      <c r="AQ313" s="55"/>
      <c r="AR313" s="55"/>
      <c r="AS313" s="55"/>
    </row>
    <row r="314" spans="1:45" x14ac:dyDescent="0.25">
      <c r="A314" s="55"/>
      <c r="B314" s="55"/>
      <c r="C314" s="55"/>
      <c r="D314" s="55"/>
      <c r="E314" s="55"/>
      <c r="F314" s="55"/>
      <c r="G314" s="55"/>
      <c r="H314" s="55"/>
      <c r="I314" s="55"/>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5"/>
      <c r="AJ314" s="55"/>
      <c r="AK314" s="55"/>
      <c r="AL314" s="55"/>
      <c r="AM314" s="55"/>
      <c r="AN314" s="55"/>
      <c r="AO314" s="55"/>
      <c r="AP314" s="55"/>
      <c r="AQ314" s="55"/>
      <c r="AR314" s="55"/>
      <c r="AS314" s="55"/>
    </row>
    <row r="315" spans="1:45" x14ac:dyDescent="0.25">
      <c r="A315" s="55"/>
      <c r="B315" s="55"/>
      <c r="C315" s="55"/>
      <c r="D315" s="55"/>
      <c r="E315" s="55"/>
      <c r="F315" s="55"/>
      <c r="G315" s="55"/>
      <c r="H315" s="55"/>
      <c r="I315" s="55"/>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c r="AS315" s="55"/>
    </row>
    <row r="316" spans="1:45" x14ac:dyDescent="0.25">
      <c r="A316" s="55"/>
      <c r="B316" s="55"/>
      <c r="C316" s="55"/>
      <c r="D316" s="55"/>
      <c r="E316" s="55"/>
      <c r="F316" s="55"/>
      <c r="G316" s="55"/>
      <c r="H316" s="55"/>
      <c r="I316" s="55"/>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5"/>
      <c r="AJ316" s="55"/>
      <c r="AK316" s="55"/>
      <c r="AL316" s="55"/>
      <c r="AM316" s="55"/>
      <c r="AN316" s="55"/>
      <c r="AO316" s="55"/>
      <c r="AP316" s="55"/>
      <c r="AQ316" s="55"/>
      <c r="AR316" s="55"/>
      <c r="AS316" s="55"/>
    </row>
    <row r="317" spans="1:45" x14ac:dyDescent="0.25">
      <c r="A317" s="55"/>
      <c r="B317" s="55"/>
      <c r="C317" s="55"/>
      <c r="D317" s="55"/>
      <c r="E317" s="55"/>
      <c r="F317" s="55"/>
      <c r="G317" s="55"/>
      <c r="H317" s="55"/>
      <c r="I317" s="55"/>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5"/>
      <c r="AJ317" s="55"/>
      <c r="AK317" s="55"/>
      <c r="AL317" s="55"/>
      <c r="AM317" s="55"/>
      <c r="AN317" s="55"/>
      <c r="AO317" s="55"/>
      <c r="AP317" s="55"/>
      <c r="AQ317" s="55"/>
      <c r="AR317" s="55"/>
      <c r="AS317" s="55"/>
    </row>
    <row r="318" spans="1:45" x14ac:dyDescent="0.25">
      <c r="A318" s="55"/>
      <c r="B318" s="55"/>
      <c r="C318" s="55"/>
      <c r="D318" s="55"/>
      <c r="E318" s="55"/>
      <c r="F318" s="55"/>
      <c r="G318" s="55"/>
      <c r="H318" s="55"/>
      <c r="I318" s="55"/>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5"/>
      <c r="AJ318" s="55"/>
      <c r="AK318" s="55"/>
      <c r="AL318" s="55"/>
      <c r="AM318" s="55"/>
      <c r="AN318" s="55"/>
      <c r="AO318" s="55"/>
      <c r="AP318" s="55"/>
      <c r="AQ318" s="55"/>
      <c r="AR318" s="55"/>
      <c r="AS318" s="55"/>
    </row>
    <row r="319" spans="1:45" x14ac:dyDescent="0.25">
      <c r="A319" s="55"/>
      <c r="B319" s="55"/>
      <c r="C319" s="55"/>
      <c r="D319" s="55"/>
      <c r="E319" s="55"/>
      <c r="F319" s="55"/>
      <c r="G319" s="55"/>
      <c r="H319" s="55"/>
      <c r="I319" s="55"/>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5"/>
      <c r="AJ319" s="55"/>
      <c r="AK319" s="55"/>
      <c r="AL319" s="55"/>
      <c r="AM319" s="55"/>
      <c r="AN319" s="55"/>
      <c r="AO319" s="55"/>
      <c r="AP319" s="55"/>
      <c r="AQ319" s="55"/>
      <c r="AR319" s="55"/>
      <c r="AS319" s="55"/>
    </row>
    <row r="320" spans="1:45" x14ac:dyDescent="0.25">
      <c r="A320" s="55"/>
      <c r="B320" s="55"/>
      <c r="C320" s="55"/>
      <c r="D320" s="55"/>
      <c r="E320" s="55"/>
      <c r="F320" s="55"/>
      <c r="G320" s="55"/>
      <c r="H320" s="55"/>
      <c r="I320" s="55"/>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5"/>
      <c r="AJ320" s="55"/>
      <c r="AK320" s="55"/>
      <c r="AL320" s="55"/>
      <c r="AM320" s="55"/>
      <c r="AN320" s="55"/>
      <c r="AO320" s="55"/>
      <c r="AP320" s="55"/>
      <c r="AQ320" s="55"/>
      <c r="AR320" s="55"/>
      <c r="AS320" s="55"/>
    </row>
    <row r="321" spans="1:45" x14ac:dyDescent="0.25">
      <c r="A321" s="55"/>
      <c r="B321" s="55"/>
      <c r="C321" s="55"/>
      <c r="D321" s="55"/>
      <c r="E321" s="55"/>
      <c r="F321" s="55"/>
      <c r="G321" s="55"/>
      <c r="H321" s="55"/>
      <c r="I321" s="55"/>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5"/>
      <c r="AJ321" s="55"/>
      <c r="AK321" s="55"/>
      <c r="AL321" s="55"/>
      <c r="AM321" s="55"/>
      <c r="AN321" s="55"/>
      <c r="AO321" s="55"/>
      <c r="AP321" s="55"/>
      <c r="AQ321" s="55"/>
      <c r="AR321" s="55"/>
      <c r="AS321" s="55"/>
    </row>
    <row r="322" spans="1:45" x14ac:dyDescent="0.25">
      <c r="A322" s="55"/>
      <c r="B322" s="55"/>
      <c r="C322" s="55"/>
      <c r="D322" s="55"/>
      <c r="E322" s="55"/>
      <c r="F322" s="55"/>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row>
    <row r="323" spans="1:45" x14ac:dyDescent="0.25">
      <c r="A323" s="55"/>
      <c r="B323" s="55"/>
      <c r="C323" s="55"/>
      <c r="D323" s="55"/>
      <c r="E323" s="55"/>
      <c r="F323" s="55"/>
      <c r="G323" s="55"/>
      <c r="H323" s="55"/>
      <c r="I323" s="55"/>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5"/>
      <c r="AJ323" s="55"/>
      <c r="AK323" s="55"/>
      <c r="AL323" s="55"/>
      <c r="AM323" s="55"/>
      <c r="AN323" s="55"/>
      <c r="AO323" s="55"/>
      <c r="AP323" s="55"/>
      <c r="AQ323" s="55"/>
      <c r="AR323" s="55"/>
      <c r="AS323" s="55"/>
    </row>
    <row r="324" spans="1:45" x14ac:dyDescent="0.25">
      <c r="A324" s="55"/>
      <c r="B324" s="55"/>
      <c r="C324" s="55"/>
      <c r="D324" s="55"/>
      <c r="E324" s="55"/>
      <c r="F324" s="55"/>
      <c r="G324" s="55"/>
      <c r="H324" s="55"/>
      <c r="I324" s="55"/>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5"/>
      <c r="AJ324" s="55"/>
      <c r="AK324" s="55"/>
      <c r="AL324" s="55"/>
      <c r="AM324" s="55"/>
      <c r="AN324" s="55"/>
      <c r="AO324" s="55"/>
      <c r="AP324" s="55"/>
      <c r="AQ324" s="55"/>
      <c r="AR324" s="55"/>
      <c r="AS324" s="55"/>
    </row>
    <row r="325" spans="1:45" x14ac:dyDescent="0.25">
      <c r="A325" s="55"/>
      <c r="B325" s="55"/>
      <c r="C325" s="55"/>
      <c r="D325" s="55"/>
      <c r="E325" s="55"/>
      <c r="F325" s="55"/>
      <c r="G325" s="55"/>
      <c r="H325" s="55"/>
      <c r="I325" s="55"/>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5"/>
      <c r="AJ325" s="55"/>
      <c r="AK325" s="55"/>
      <c r="AL325" s="55"/>
      <c r="AM325" s="55"/>
      <c r="AN325" s="55"/>
      <c r="AO325" s="55"/>
      <c r="AP325" s="55"/>
      <c r="AQ325" s="55"/>
      <c r="AR325" s="55"/>
      <c r="AS325" s="55"/>
    </row>
    <row r="326" spans="1:45" x14ac:dyDescent="0.25">
      <c r="A326" s="55"/>
      <c r="B326" s="55"/>
      <c r="C326" s="55"/>
      <c r="D326" s="55"/>
      <c r="E326" s="55"/>
      <c r="F326" s="55"/>
      <c r="G326" s="55"/>
      <c r="H326" s="55"/>
      <c r="I326" s="55"/>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5"/>
      <c r="AJ326" s="55"/>
      <c r="AK326" s="55"/>
      <c r="AL326" s="55"/>
      <c r="AM326" s="55"/>
      <c r="AN326" s="55"/>
      <c r="AO326" s="55"/>
      <c r="AP326" s="55"/>
      <c r="AQ326" s="55"/>
      <c r="AR326" s="55"/>
      <c r="AS326" s="55"/>
    </row>
    <row r="327" spans="1:45" x14ac:dyDescent="0.25">
      <c r="A327" s="55"/>
      <c r="B327" s="55"/>
      <c r="C327" s="55"/>
      <c r="D327" s="55"/>
      <c r="E327" s="55"/>
      <c r="F327" s="55"/>
      <c r="G327" s="55"/>
      <c r="H327" s="55"/>
      <c r="I327" s="55"/>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5"/>
      <c r="AJ327" s="55"/>
      <c r="AK327" s="55"/>
      <c r="AL327" s="55"/>
      <c r="AM327" s="55"/>
      <c r="AN327" s="55"/>
      <c r="AO327" s="55"/>
      <c r="AP327" s="55"/>
      <c r="AQ327" s="55"/>
      <c r="AR327" s="55"/>
      <c r="AS327" s="55"/>
    </row>
    <row r="328" spans="1:45" x14ac:dyDescent="0.25">
      <c r="A328" s="55"/>
      <c r="B328" s="55"/>
      <c r="C328" s="55"/>
      <c r="D328" s="55"/>
      <c r="E328" s="55"/>
      <c r="F328" s="55"/>
      <c r="G328" s="55"/>
      <c r="H328" s="55"/>
      <c r="I328" s="55"/>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5"/>
      <c r="AJ328" s="55"/>
      <c r="AK328" s="55"/>
      <c r="AL328" s="55"/>
      <c r="AM328" s="55"/>
      <c r="AN328" s="55"/>
      <c r="AO328" s="55"/>
      <c r="AP328" s="55"/>
      <c r="AQ328" s="55"/>
      <c r="AR328" s="55"/>
      <c r="AS328" s="55"/>
    </row>
    <row r="329" spans="1:45" x14ac:dyDescent="0.25">
      <c r="A329" s="55"/>
      <c r="B329" s="55"/>
      <c r="C329" s="55"/>
      <c r="D329" s="55"/>
      <c r="E329" s="55"/>
      <c r="F329" s="55"/>
      <c r="G329" s="55"/>
      <c r="H329" s="55"/>
      <c r="I329" s="55"/>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5"/>
      <c r="AJ329" s="55"/>
      <c r="AK329" s="55"/>
      <c r="AL329" s="55"/>
      <c r="AM329" s="55"/>
      <c r="AN329" s="55"/>
      <c r="AO329" s="55"/>
      <c r="AP329" s="55"/>
      <c r="AQ329" s="55"/>
      <c r="AR329" s="55"/>
      <c r="AS329" s="55"/>
    </row>
    <row r="330" spans="1:45" x14ac:dyDescent="0.25">
      <c r="A330" s="55"/>
      <c r="B330" s="55"/>
      <c r="C330" s="55"/>
      <c r="D330" s="55"/>
      <c r="E330" s="55"/>
      <c r="F330" s="55"/>
      <c r="G330" s="55"/>
      <c r="H330" s="55"/>
      <c r="I330" s="55"/>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5"/>
      <c r="AJ330" s="55"/>
      <c r="AK330" s="55"/>
      <c r="AL330" s="55"/>
      <c r="AM330" s="55"/>
      <c r="AN330" s="55"/>
      <c r="AO330" s="55"/>
      <c r="AP330" s="55"/>
      <c r="AQ330" s="55"/>
      <c r="AR330" s="55"/>
      <c r="AS330" s="55"/>
    </row>
    <row r="331" spans="1:45" x14ac:dyDescent="0.25">
      <c r="A331" s="55"/>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5"/>
      <c r="AJ331" s="55"/>
      <c r="AK331" s="55"/>
      <c r="AL331" s="55"/>
      <c r="AM331" s="55"/>
      <c r="AN331" s="55"/>
      <c r="AO331" s="55"/>
      <c r="AP331" s="55"/>
      <c r="AQ331" s="55"/>
      <c r="AR331" s="55"/>
      <c r="AS331" s="55"/>
    </row>
    <row r="332" spans="1:45" x14ac:dyDescent="0.25">
      <c r="A332" s="55"/>
      <c r="B332" s="55"/>
      <c r="C332" s="55"/>
      <c r="D332" s="55"/>
      <c r="E332" s="55"/>
      <c r="F332" s="55"/>
      <c r="G332" s="55"/>
      <c r="H332" s="55"/>
      <c r="I332" s="55"/>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5"/>
      <c r="AJ332" s="55"/>
      <c r="AK332" s="55"/>
      <c r="AL332" s="55"/>
      <c r="AM332" s="55"/>
      <c r="AN332" s="55"/>
      <c r="AO332" s="55"/>
      <c r="AP332" s="55"/>
      <c r="AQ332" s="55"/>
      <c r="AR332" s="55"/>
      <c r="AS332" s="55"/>
    </row>
    <row r="333" spans="1:45" x14ac:dyDescent="0.25">
      <c r="A333" s="55"/>
      <c r="B333" s="55"/>
      <c r="C333" s="55"/>
      <c r="D333" s="55"/>
      <c r="E333" s="55"/>
      <c r="F333" s="55"/>
      <c r="G333" s="55"/>
      <c r="H333" s="55"/>
      <c r="I333" s="55"/>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5"/>
      <c r="AJ333" s="55"/>
      <c r="AK333" s="55"/>
      <c r="AL333" s="55"/>
      <c r="AM333" s="55"/>
      <c r="AN333" s="55"/>
      <c r="AO333" s="55"/>
      <c r="AP333" s="55"/>
      <c r="AQ333" s="55"/>
      <c r="AR333" s="55"/>
      <c r="AS333" s="55"/>
    </row>
    <row r="334" spans="1:45" x14ac:dyDescent="0.25">
      <c r="A334" s="55"/>
      <c r="B334" s="55"/>
      <c r="C334" s="55"/>
      <c r="D334" s="55"/>
      <c r="E334" s="55"/>
      <c r="F334" s="55"/>
      <c r="G334" s="55"/>
      <c r="H334" s="55"/>
      <c r="I334" s="55"/>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5"/>
      <c r="AJ334" s="55"/>
      <c r="AK334" s="55"/>
      <c r="AL334" s="55"/>
      <c r="AM334" s="55"/>
      <c r="AN334" s="55"/>
      <c r="AO334" s="55"/>
      <c r="AP334" s="55"/>
      <c r="AQ334" s="55"/>
      <c r="AR334" s="55"/>
      <c r="AS334" s="55"/>
    </row>
    <row r="335" spans="1:45" x14ac:dyDescent="0.25">
      <c r="A335" s="55"/>
      <c r="B335" s="55"/>
      <c r="C335" s="55"/>
      <c r="D335" s="55"/>
      <c r="E335" s="55"/>
      <c r="F335" s="55"/>
      <c r="G335" s="55"/>
      <c r="H335" s="55"/>
      <c r="I335" s="55"/>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5"/>
      <c r="AJ335" s="55"/>
      <c r="AK335" s="55"/>
      <c r="AL335" s="55"/>
      <c r="AM335" s="55"/>
      <c r="AN335" s="55"/>
      <c r="AO335" s="55"/>
      <c r="AP335" s="55"/>
      <c r="AQ335" s="55"/>
      <c r="AR335" s="55"/>
      <c r="AS335" s="55"/>
    </row>
    <row r="336" spans="1:45" x14ac:dyDescent="0.25">
      <c r="A336" s="55"/>
      <c r="B336" s="55"/>
      <c r="C336" s="55"/>
      <c r="D336" s="55"/>
      <c r="E336" s="55"/>
      <c r="F336" s="55"/>
      <c r="G336" s="55"/>
      <c r="H336" s="55"/>
      <c r="I336" s="55"/>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5"/>
      <c r="AJ336" s="55"/>
      <c r="AK336" s="55"/>
      <c r="AL336" s="55"/>
      <c r="AM336" s="55"/>
      <c r="AN336" s="55"/>
      <c r="AO336" s="55"/>
      <c r="AP336" s="55"/>
      <c r="AQ336" s="55"/>
      <c r="AR336" s="55"/>
      <c r="AS336" s="55"/>
    </row>
    <row r="337" spans="1:45" x14ac:dyDescent="0.25">
      <c r="A337" s="55"/>
      <c r="B337" s="55"/>
      <c r="C337" s="55"/>
      <c r="D337" s="5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c r="AS337" s="55"/>
    </row>
    <row r="338" spans="1:45" x14ac:dyDescent="0.25">
      <c r="A338" s="55"/>
      <c r="B338" s="55"/>
      <c r="C338" s="55"/>
      <c r="D338" s="55"/>
      <c r="E338" s="55"/>
      <c r="F338" s="55"/>
      <c r="G338" s="55"/>
      <c r="H338" s="55"/>
      <c r="I338" s="55"/>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5"/>
      <c r="AJ338" s="55"/>
      <c r="AK338" s="55"/>
      <c r="AL338" s="55"/>
      <c r="AM338" s="55"/>
      <c r="AN338" s="55"/>
      <c r="AO338" s="55"/>
      <c r="AP338" s="55"/>
      <c r="AQ338" s="55"/>
      <c r="AR338" s="55"/>
      <c r="AS338" s="55"/>
    </row>
    <row r="339" spans="1:45" x14ac:dyDescent="0.25">
      <c r="A339" s="55"/>
      <c r="B339" s="55"/>
      <c r="C339" s="55"/>
      <c r="D339" s="55"/>
      <c r="E339" s="55"/>
      <c r="F339" s="55"/>
      <c r="G339" s="55"/>
      <c r="H339" s="55"/>
      <c r="I339" s="55"/>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5"/>
      <c r="AJ339" s="55"/>
      <c r="AK339" s="55"/>
      <c r="AL339" s="55"/>
      <c r="AM339" s="55"/>
      <c r="AN339" s="55"/>
      <c r="AO339" s="55"/>
      <c r="AP339" s="55"/>
      <c r="AQ339" s="55"/>
      <c r="AR339" s="55"/>
      <c r="AS339" s="55"/>
    </row>
    <row r="340" spans="1:45" x14ac:dyDescent="0.25">
      <c r="A340" s="55"/>
      <c r="B340" s="55"/>
      <c r="C340" s="55"/>
      <c r="D340" s="5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row>
    <row r="341" spans="1:45" x14ac:dyDescent="0.25">
      <c r="A341" s="55"/>
      <c r="B341" s="55"/>
      <c r="C341" s="55"/>
      <c r="D341" s="55"/>
      <c r="E341" s="55"/>
      <c r="F341" s="55"/>
      <c r="G341" s="55"/>
      <c r="H341" s="55"/>
      <c r="I341" s="55"/>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5"/>
      <c r="AJ341" s="55"/>
      <c r="AK341" s="55"/>
      <c r="AL341" s="55"/>
      <c r="AM341" s="55"/>
      <c r="AN341" s="55"/>
      <c r="AO341" s="55"/>
      <c r="AP341" s="55"/>
      <c r="AQ341" s="55"/>
      <c r="AR341" s="55"/>
      <c r="AS341" s="55"/>
    </row>
    <row r="342" spans="1:45" x14ac:dyDescent="0.25">
      <c r="A342" s="55"/>
      <c r="B342" s="55"/>
      <c r="C342" s="55"/>
      <c r="D342" s="55"/>
      <c r="E342" s="55"/>
      <c r="F342" s="55"/>
      <c r="G342" s="55"/>
      <c r="H342" s="55"/>
      <c r="I342" s="55"/>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5"/>
      <c r="AJ342" s="55"/>
      <c r="AK342" s="55"/>
      <c r="AL342" s="55"/>
      <c r="AM342" s="55"/>
      <c r="AN342" s="55"/>
      <c r="AO342" s="55"/>
      <c r="AP342" s="55"/>
      <c r="AQ342" s="55"/>
      <c r="AR342" s="55"/>
      <c r="AS342" s="55"/>
    </row>
    <row r="343" spans="1:45" x14ac:dyDescent="0.25">
      <c r="A343" s="55"/>
      <c r="B343" s="55"/>
      <c r="C343" s="55"/>
      <c r="D343" s="55"/>
      <c r="E343" s="55"/>
      <c r="F343" s="55"/>
      <c r="G343" s="55"/>
      <c r="H343" s="55"/>
      <c r="I343" s="55"/>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5"/>
      <c r="AJ343" s="55"/>
      <c r="AK343" s="55"/>
      <c r="AL343" s="55"/>
      <c r="AM343" s="55"/>
      <c r="AN343" s="55"/>
      <c r="AO343" s="55"/>
      <c r="AP343" s="55"/>
      <c r="AQ343" s="55"/>
      <c r="AR343" s="55"/>
      <c r="AS343" s="55"/>
    </row>
    <row r="344" spans="1:45" x14ac:dyDescent="0.25">
      <c r="A344" s="55"/>
      <c r="B344" s="55"/>
      <c r="C344" s="55"/>
      <c r="D344" s="55"/>
      <c r="E344" s="55"/>
      <c r="F344" s="55"/>
      <c r="G344" s="55"/>
      <c r="H344" s="55"/>
      <c r="I344" s="55"/>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5"/>
      <c r="AJ344" s="55"/>
      <c r="AK344" s="55"/>
      <c r="AL344" s="55"/>
      <c r="AM344" s="55"/>
      <c r="AN344" s="55"/>
      <c r="AO344" s="55"/>
      <c r="AP344" s="55"/>
      <c r="AQ344" s="55"/>
      <c r="AR344" s="55"/>
      <c r="AS344" s="55"/>
    </row>
    <row r="345" spans="1:45" x14ac:dyDescent="0.25">
      <c r="A345" s="55"/>
      <c r="B345" s="55"/>
      <c r="C345" s="55"/>
      <c r="D345" s="55"/>
      <c r="E345" s="55"/>
      <c r="F345" s="55"/>
      <c r="G345" s="55"/>
      <c r="H345" s="55"/>
      <c r="I345" s="55"/>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5"/>
      <c r="AJ345" s="55"/>
      <c r="AK345" s="55"/>
      <c r="AL345" s="55"/>
      <c r="AM345" s="55"/>
      <c r="AN345" s="55"/>
      <c r="AO345" s="55"/>
      <c r="AP345" s="55"/>
      <c r="AQ345" s="55"/>
      <c r="AR345" s="55"/>
      <c r="AS345" s="55"/>
    </row>
    <row r="346" spans="1:45" x14ac:dyDescent="0.25">
      <c r="A346" s="55"/>
      <c r="B346" s="55"/>
      <c r="C346" s="55"/>
      <c r="D346" s="55"/>
      <c r="E346" s="55"/>
      <c r="F346" s="55"/>
      <c r="G346" s="55"/>
      <c r="H346" s="55"/>
      <c r="I346" s="55"/>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5"/>
      <c r="AJ346" s="55"/>
      <c r="AK346" s="55"/>
      <c r="AL346" s="55"/>
      <c r="AM346" s="55"/>
      <c r="AN346" s="55"/>
      <c r="AO346" s="55"/>
      <c r="AP346" s="55"/>
      <c r="AQ346" s="55"/>
      <c r="AR346" s="55"/>
      <c r="AS346" s="55"/>
    </row>
    <row r="347" spans="1:45" x14ac:dyDescent="0.25">
      <c r="A347" s="55"/>
      <c r="B347" s="55"/>
      <c r="C347" s="55"/>
      <c r="D347" s="5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c r="AS347" s="55"/>
    </row>
    <row r="348" spans="1:45" x14ac:dyDescent="0.25">
      <c r="A348" s="55"/>
      <c r="B348" s="55"/>
      <c r="C348" s="55"/>
      <c r="D348" s="55"/>
      <c r="E348" s="55"/>
      <c r="F348" s="55"/>
      <c r="G348" s="55"/>
      <c r="H348" s="55"/>
      <c r="I348" s="55"/>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5"/>
      <c r="AJ348" s="55"/>
      <c r="AK348" s="55"/>
      <c r="AL348" s="55"/>
      <c r="AM348" s="55"/>
      <c r="AN348" s="55"/>
      <c r="AO348" s="55"/>
      <c r="AP348" s="55"/>
      <c r="AQ348" s="55"/>
      <c r="AR348" s="55"/>
      <c r="AS348" s="55"/>
    </row>
    <row r="349" spans="1:45" x14ac:dyDescent="0.25">
      <c r="A349" s="55"/>
      <c r="B349" s="55"/>
      <c r="C349" s="55"/>
      <c r="D349" s="55"/>
      <c r="E349" s="55"/>
      <c r="F349" s="55"/>
      <c r="G349" s="55"/>
      <c r="H349" s="55"/>
      <c r="I349" s="55"/>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5"/>
      <c r="AJ349" s="55"/>
      <c r="AK349" s="55"/>
      <c r="AL349" s="55"/>
      <c r="AM349" s="55"/>
      <c r="AN349" s="55"/>
      <c r="AO349" s="55"/>
      <c r="AP349" s="55"/>
      <c r="AQ349" s="55"/>
      <c r="AR349" s="55"/>
      <c r="AS349" s="55"/>
    </row>
    <row r="350" spans="1:45" x14ac:dyDescent="0.25">
      <c r="A350" s="55"/>
      <c r="B350" s="55"/>
      <c r="C350" s="55"/>
      <c r="D350" s="55"/>
      <c r="E350" s="55"/>
      <c r="F350" s="55"/>
      <c r="G350" s="55"/>
      <c r="H350" s="55"/>
      <c r="I350" s="55"/>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5"/>
      <c r="AJ350" s="55"/>
      <c r="AK350" s="55"/>
      <c r="AL350" s="55"/>
      <c r="AM350" s="55"/>
      <c r="AN350" s="55"/>
      <c r="AO350" s="55"/>
      <c r="AP350" s="55"/>
      <c r="AQ350" s="55"/>
      <c r="AR350" s="55"/>
      <c r="AS350" s="55"/>
    </row>
    <row r="351" spans="1:45" x14ac:dyDescent="0.25">
      <c r="A351" s="55"/>
      <c r="B351" s="55"/>
      <c r="C351" s="55"/>
      <c r="D351" s="55"/>
      <c r="E351" s="55"/>
      <c r="F351" s="55"/>
      <c r="G351" s="55"/>
      <c r="H351" s="55"/>
      <c r="I351" s="55"/>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5"/>
      <c r="AJ351" s="55"/>
      <c r="AK351" s="55"/>
      <c r="AL351" s="55"/>
      <c r="AM351" s="55"/>
      <c r="AN351" s="55"/>
      <c r="AO351" s="55"/>
      <c r="AP351" s="55"/>
      <c r="AQ351" s="55"/>
      <c r="AR351" s="55"/>
      <c r="AS351" s="55"/>
    </row>
    <row r="352" spans="1:45" x14ac:dyDescent="0.25">
      <c r="A352" s="55"/>
      <c r="B352" s="55"/>
      <c r="C352" s="55"/>
      <c r="D352" s="55"/>
      <c r="E352" s="55"/>
      <c r="F352" s="55"/>
      <c r="G352" s="55"/>
      <c r="H352" s="55"/>
      <c r="I352" s="55"/>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5"/>
      <c r="AJ352" s="55"/>
      <c r="AK352" s="55"/>
      <c r="AL352" s="55"/>
      <c r="AM352" s="55"/>
      <c r="AN352" s="55"/>
      <c r="AO352" s="55"/>
      <c r="AP352" s="55"/>
      <c r="AQ352" s="55"/>
      <c r="AR352" s="55"/>
      <c r="AS352" s="55"/>
    </row>
    <row r="353" spans="1:45" x14ac:dyDescent="0.25">
      <c r="A353" s="55"/>
      <c r="B353" s="55"/>
      <c r="C353" s="55"/>
      <c r="D353" s="55"/>
      <c r="E353" s="55"/>
      <c r="F353" s="55"/>
      <c r="G353" s="55"/>
      <c r="H353" s="55"/>
      <c r="I353" s="55"/>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5"/>
      <c r="AJ353" s="55"/>
      <c r="AK353" s="55"/>
      <c r="AL353" s="55"/>
      <c r="AM353" s="55"/>
      <c r="AN353" s="55"/>
      <c r="AO353" s="55"/>
      <c r="AP353" s="55"/>
      <c r="AQ353" s="55"/>
      <c r="AR353" s="55"/>
      <c r="AS353" s="55"/>
    </row>
    <row r="354" spans="1:45" x14ac:dyDescent="0.25">
      <c r="A354" s="55"/>
      <c r="B354" s="55"/>
      <c r="C354" s="55"/>
      <c r="D354" s="55"/>
      <c r="E354" s="55"/>
      <c r="F354" s="55"/>
      <c r="G354" s="55"/>
      <c r="H354" s="55"/>
      <c r="I354" s="55"/>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5"/>
      <c r="AJ354" s="55"/>
      <c r="AK354" s="55"/>
      <c r="AL354" s="55"/>
      <c r="AM354" s="55"/>
      <c r="AN354" s="55"/>
      <c r="AO354" s="55"/>
      <c r="AP354" s="55"/>
      <c r="AQ354" s="55"/>
      <c r="AR354" s="55"/>
      <c r="AS354" s="55"/>
    </row>
    <row r="355" spans="1:45" x14ac:dyDescent="0.25">
      <c r="A355" s="55"/>
      <c r="B355" s="55"/>
      <c r="C355" s="55"/>
      <c r="D355" s="55"/>
      <c r="E355" s="55"/>
      <c r="F355" s="55"/>
      <c r="G355" s="55"/>
      <c r="H355" s="55"/>
      <c r="I355" s="55"/>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5"/>
      <c r="AJ355" s="55"/>
      <c r="AK355" s="55"/>
      <c r="AL355" s="55"/>
      <c r="AM355" s="55"/>
      <c r="AN355" s="55"/>
      <c r="AO355" s="55"/>
      <c r="AP355" s="55"/>
      <c r="AQ355" s="55"/>
      <c r="AR355" s="55"/>
      <c r="AS355" s="55"/>
    </row>
    <row r="356" spans="1:45" x14ac:dyDescent="0.25">
      <c r="A356" s="55"/>
      <c r="B356" s="55"/>
      <c r="C356" s="55"/>
      <c r="D356" s="55"/>
      <c r="E356" s="55"/>
      <c r="F356" s="55"/>
      <c r="G356" s="55"/>
      <c r="H356" s="55"/>
      <c r="I356" s="55"/>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5"/>
      <c r="AJ356" s="55"/>
      <c r="AK356" s="55"/>
      <c r="AL356" s="55"/>
      <c r="AM356" s="55"/>
      <c r="AN356" s="55"/>
      <c r="AO356" s="55"/>
      <c r="AP356" s="55"/>
      <c r="AQ356" s="55"/>
      <c r="AR356" s="55"/>
      <c r="AS356" s="55"/>
    </row>
    <row r="357" spans="1:45" x14ac:dyDescent="0.25">
      <c r="A357" s="55"/>
      <c r="B357" s="55"/>
      <c r="C357" s="55"/>
      <c r="D357" s="55"/>
      <c r="E357" s="55"/>
      <c r="F357" s="55"/>
      <c r="G357" s="55"/>
      <c r="H357" s="55"/>
      <c r="I357" s="55"/>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5"/>
      <c r="AJ357" s="55"/>
      <c r="AK357" s="55"/>
      <c r="AL357" s="55"/>
      <c r="AM357" s="55"/>
      <c r="AN357" s="55"/>
      <c r="AO357" s="55"/>
      <c r="AP357" s="55"/>
      <c r="AQ357" s="55"/>
      <c r="AR357" s="55"/>
      <c r="AS357" s="55"/>
    </row>
    <row r="358" spans="1:45" x14ac:dyDescent="0.25">
      <c r="A358" s="55"/>
      <c r="B358" s="55"/>
      <c r="C358" s="55"/>
      <c r="D358" s="55"/>
      <c r="E358" s="55"/>
      <c r="F358" s="55"/>
      <c r="G358" s="55"/>
      <c r="H358" s="55"/>
      <c r="I358" s="55"/>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5"/>
      <c r="AJ358" s="55"/>
      <c r="AK358" s="55"/>
      <c r="AL358" s="55"/>
      <c r="AM358" s="55"/>
      <c r="AN358" s="55"/>
      <c r="AO358" s="55"/>
      <c r="AP358" s="55"/>
      <c r="AQ358" s="55"/>
      <c r="AR358" s="55"/>
      <c r="AS358" s="55"/>
    </row>
    <row r="359" spans="1:45" x14ac:dyDescent="0.25">
      <c r="A359" s="55"/>
      <c r="B359" s="55"/>
      <c r="C359" s="55"/>
      <c r="D359" s="55"/>
      <c r="E359" s="55"/>
      <c r="F359" s="55"/>
      <c r="G359" s="55"/>
      <c r="H359" s="55"/>
      <c r="I359" s="55"/>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5"/>
      <c r="AJ359" s="55"/>
      <c r="AK359" s="55"/>
      <c r="AL359" s="55"/>
      <c r="AM359" s="55"/>
      <c r="AN359" s="55"/>
      <c r="AO359" s="55"/>
      <c r="AP359" s="55"/>
      <c r="AQ359" s="55"/>
      <c r="AR359" s="55"/>
      <c r="AS359" s="55"/>
    </row>
    <row r="360" spans="1:45" x14ac:dyDescent="0.25">
      <c r="A360" s="55"/>
      <c r="B360" s="55"/>
      <c r="C360" s="55"/>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row>
    <row r="361" spans="1:45" x14ac:dyDescent="0.25">
      <c r="A361" s="55"/>
      <c r="B361" s="55"/>
      <c r="C361" s="55"/>
      <c r="D361" s="55"/>
      <c r="E361" s="55"/>
      <c r="F361" s="55"/>
      <c r="G361" s="55"/>
      <c r="H361" s="55"/>
      <c r="I361" s="55"/>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5"/>
      <c r="AJ361" s="55"/>
      <c r="AK361" s="55"/>
      <c r="AL361" s="55"/>
      <c r="AM361" s="55"/>
      <c r="AN361" s="55"/>
      <c r="AO361" s="55"/>
      <c r="AP361" s="55"/>
      <c r="AQ361" s="55"/>
      <c r="AR361" s="55"/>
      <c r="AS361" s="55"/>
    </row>
    <row r="362" spans="1:45" x14ac:dyDescent="0.25">
      <c r="A362" s="55"/>
      <c r="B362" s="55"/>
      <c r="C362" s="55"/>
      <c r="D362" s="55"/>
      <c r="E362" s="55"/>
      <c r="F362" s="55"/>
      <c r="G362" s="55"/>
      <c r="H362" s="55"/>
      <c r="I362" s="55"/>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5"/>
      <c r="AJ362" s="55"/>
      <c r="AK362" s="55"/>
      <c r="AL362" s="55"/>
      <c r="AM362" s="55"/>
      <c r="AN362" s="55"/>
      <c r="AO362" s="55"/>
      <c r="AP362" s="55"/>
      <c r="AQ362" s="55"/>
      <c r="AR362" s="55"/>
      <c r="AS362" s="55"/>
    </row>
    <row r="363" spans="1:45" x14ac:dyDescent="0.25">
      <c r="A363" s="55"/>
      <c r="B363" s="55"/>
      <c r="C363" s="55"/>
      <c r="D363" s="55"/>
      <c r="E363" s="55"/>
      <c r="F363" s="55"/>
      <c r="G363" s="55"/>
      <c r="H363" s="55"/>
      <c r="I363" s="55"/>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5"/>
      <c r="AJ363" s="55"/>
      <c r="AK363" s="55"/>
      <c r="AL363" s="55"/>
      <c r="AM363" s="55"/>
      <c r="AN363" s="55"/>
      <c r="AO363" s="55"/>
      <c r="AP363" s="55"/>
      <c r="AQ363" s="55"/>
      <c r="AR363" s="55"/>
      <c r="AS363" s="55"/>
    </row>
    <row r="364" spans="1:45" x14ac:dyDescent="0.25">
      <c r="A364" s="55"/>
      <c r="B364" s="55"/>
      <c r="C364" s="55"/>
      <c r="D364" s="55"/>
      <c r="E364" s="55"/>
      <c r="F364" s="55"/>
      <c r="G364" s="55"/>
      <c r="H364" s="55"/>
      <c r="I364" s="55"/>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row>
    <row r="365" spans="1:45" x14ac:dyDescent="0.25">
      <c r="A365" s="55"/>
      <c r="B365" s="55"/>
      <c r="C365" s="55"/>
      <c r="D365" s="55"/>
      <c r="E365" s="55"/>
      <c r="F365" s="55"/>
      <c r="G365" s="55"/>
      <c r="H365" s="55"/>
      <c r="I365" s="55"/>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5"/>
      <c r="AJ365" s="55"/>
      <c r="AK365" s="55"/>
      <c r="AL365" s="55"/>
      <c r="AM365" s="55"/>
      <c r="AN365" s="55"/>
      <c r="AO365" s="55"/>
      <c r="AP365" s="55"/>
      <c r="AQ365" s="55"/>
      <c r="AR365" s="55"/>
      <c r="AS365" s="55"/>
    </row>
    <row r="366" spans="1:45" x14ac:dyDescent="0.25">
      <c r="A366" s="55"/>
      <c r="B366" s="55"/>
      <c r="C366" s="55"/>
      <c r="D366" s="55"/>
      <c r="E366" s="55"/>
      <c r="F366" s="55"/>
      <c r="G366" s="55"/>
      <c r="H366" s="55"/>
      <c r="I366" s="55"/>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5"/>
      <c r="AJ366" s="55"/>
      <c r="AK366" s="55"/>
      <c r="AL366" s="55"/>
      <c r="AM366" s="55"/>
      <c r="AN366" s="55"/>
      <c r="AO366" s="55"/>
      <c r="AP366" s="55"/>
      <c r="AQ366" s="55"/>
      <c r="AR366" s="55"/>
      <c r="AS366" s="55"/>
    </row>
    <row r="367" spans="1:45" x14ac:dyDescent="0.25">
      <c r="A367" s="55"/>
      <c r="B367" s="55"/>
      <c r="C367" s="55"/>
      <c r="D367" s="55"/>
      <c r="E367" s="55"/>
      <c r="F367" s="55"/>
      <c r="G367" s="55"/>
      <c r="H367" s="55"/>
      <c r="I367" s="55"/>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5"/>
      <c r="AJ367" s="55"/>
      <c r="AK367" s="55"/>
      <c r="AL367" s="55"/>
      <c r="AM367" s="55"/>
      <c r="AN367" s="55"/>
      <c r="AO367" s="55"/>
      <c r="AP367" s="55"/>
      <c r="AQ367" s="55"/>
      <c r="AR367" s="55"/>
      <c r="AS367" s="55"/>
    </row>
    <row r="368" spans="1:45" x14ac:dyDescent="0.25">
      <c r="A368" s="55"/>
      <c r="B368" s="55"/>
      <c r="C368" s="55"/>
      <c r="D368" s="55"/>
      <c r="E368" s="55"/>
      <c r="F368" s="55"/>
      <c r="G368" s="55"/>
      <c r="H368" s="55"/>
      <c r="I368" s="55"/>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5"/>
      <c r="AJ368" s="55"/>
      <c r="AK368" s="55"/>
      <c r="AL368" s="55"/>
      <c r="AM368" s="55"/>
      <c r="AN368" s="55"/>
      <c r="AO368" s="55"/>
      <c r="AP368" s="55"/>
      <c r="AQ368" s="55"/>
      <c r="AR368" s="55"/>
      <c r="AS368" s="55"/>
    </row>
    <row r="369" spans="1:45" x14ac:dyDescent="0.25">
      <c r="A369" s="55"/>
      <c r="B369" s="55"/>
      <c r="C369" s="55"/>
      <c r="D369" s="55"/>
      <c r="E369" s="55"/>
      <c r="F369" s="55"/>
      <c r="G369" s="55"/>
      <c r="H369" s="55"/>
      <c r="I369" s="55"/>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5"/>
      <c r="AJ369" s="55"/>
      <c r="AK369" s="55"/>
      <c r="AL369" s="55"/>
      <c r="AM369" s="55"/>
      <c r="AN369" s="55"/>
      <c r="AO369" s="55"/>
      <c r="AP369" s="55"/>
      <c r="AQ369" s="55"/>
      <c r="AR369" s="55"/>
      <c r="AS369" s="55"/>
    </row>
    <row r="370" spans="1:45" x14ac:dyDescent="0.25">
      <c r="A370" s="55"/>
      <c r="B370" s="55"/>
      <c r="C370" s="55"/>
      <c r="D370" s="55"/>
      <c r="E370" s="55"/>
      <c r="F370" s="55"/>
      <c r="G370" s="55"/>
      <c r="H370" s="55"/>
      <c r="I370" s="55"/>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5"/>
      <c r="AJ370" s="55"/>
      <c r="AK370" s="55"/>
      <c r="AL370" s="55"/>
      <c r="AM370" s="55"/>
      <c r="AN370" s="55"/>
      <c r="AO370" s="55"/>
      <c r="AP370" s="55"/>
      <c r="AQ370" s="55"/>
      <c r="AR370" s="55"/>
      <c r="AS370" s="55"/>
    </row>
    <row r="371" spans="1:45" x14ac:dyDescent="0.25">
      <c r="A371" s="55"/>
      <c r="B371" s="55"/>
      <c r="C371" s="55"/>
      <c r="D371" s="55"/>
      <c r="E371" s="55"/>
      <c r="F371" s="55"/>
      <c r="G371" s="55"/>
      <c r="H371" s="55"/>
      <c r="I371" s="55"/>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5"/>
      <c r="AJ371" s="55"/>
      <c r="AK371" s="55"/>
      <c r="AL371" s="55"/>
      <c r="AM371" s="55"/>
      <c r="AN371" s="55"/>
      <c r="AO371" s="55"/>
      <c r="AP371" s="55"/>
      <c r="AQ371" s="55"/>
      <c r="AR371" s="55"/>
      <c r="AS371" s="55"/>
    </row>
    <row r="372" spans="1:45" x14ac:dyDescent="0.25">
      <c r="A372" s="55"/>
      <c r="B372" s="55"/>
      <c r="C372" s="55"/>
      <c r="D372" s="55"/>
      <c r="E372" s="55"/>
      <c r="F372" s="55"/>
      <c r="G372" s="55"/>
      <c r="H372" s="55"/>
      <c r="I372" s="55"/>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5"/>
      <c r="AJ372" s="55"/>
      <c r="AK372" s="55"/>
      <c r="AL372" s="55"/>
      <c r="AM372" s="55"/>
      <c r="AN372" s="55"/>
      <c r="AO372" s="55"/>
      <c r="AP372" s="55"/>
      <c r="AQ372" s="55"/>
      <c r="AR372" s="55"/>
      <c r="AS372" s="55"/>
    </row>
    <row r="373" spans="1:45" x14ac:dyDescent="0.25">
      <c r="A373" s="55"/>
      <c r="B373" s="55"/>
      <c r="C373" s="55"/>
      <c r="D373" s="55"/>
      <c r="E373" s="55"/>
      <c r="F373" s="55"/>
      <c r="G373" s="55"/>
      <c r="H373" s="55"/>
      <c r="I373" s="55"/>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5"/>
      <c r="AJ373" s="55"/>
      <c r="AK373" s="55"/>
      <c r="AL373" s="55"/>
      <c r="AM373" s="55"/>
      <c r="AN373" s="55"/>
      <c r="AO373" s="55"/>
      <c r="AP373" s="55"/>
      <c r="AQ373" s="55"/>
      <c r="AR373" s="55"/>
      <c r="AS373" s="55"/>
    </row>
    <row r="374" spans="1:45" x14ac:dyDescent="0.25">
      <c r="A374" s="55"/>
      <c r="B374" s="55"/>
      <c r="C374" s="55"/>
      <c r="D374" s="55"/>
      <c r="E374" s="55"/>
      <c r="F374" s="55"/>
      <c r="G374" s="55"/>
      <c r="H374" s="55"/>
      <c r="I374" s="55"/>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5"/>
      <c r="AJ374" s="55"/>
      <c r="AK374" s="55"/>
      <c r="AL374" s="55"/>
      <c r="AM374" s="55"/>
      <c r="AN374" s="55"/>
      <c r="AO374" s="55"/>
      <c r="AP374" s="55"/>
      <c r="AQ374" s="55"/>
      <c r="AR374" s="55"/>
      <c r="AS374" s="55"/>
    </row>
    <row r="375" spans="1:45" x14ac:dyDescent="0.25">
      <c r="A375" s="55"/>
      <c r="B375" s="5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c r="AS375" s="55"/>
    </row>
    <row r="376" spans="1:45" x14ac:dyDescent="0.25">
      <c r="A376" s="55"/>
      <c r="B376" s="5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c r="AR376" s="55"/>
      <c r="AS376" s="55"/>
    </row>
    <row r="377" spans="1:45" x14ac:dyDescent="0.25">
      <c r="A377" s="55"/>
      <c r="B377" s="55"/>
      <c r="C377" s="55"/>
      <c r="D377" s="55"/>
      <c r="E377" s="55"/>
      <c r="F377" s="55"/>
      <c r="G377" s="55"/>
      <c r="H377" s="55"/>
      <c r="I377" s="55"/>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5"/>
      <c r="AJ377" s="55"/>
      <c r="AK377" s="55"/>
      <c r="AL377" s="55"/>
      <c r="AM377" s="55"/>
      <c r="AN377" s="55"/>
      <c r="AO377" s="55"/>
      <c r="AP377" s="55"/>
      <c r="AQ377" s="55"/>
      <c r="AR377" s="55"/>
      <c r="AS377" s="55"/>
    </row>
    <row r="378" spans="1:45" x14ac:dyDescent="0.25">
      <c r="A378" s="55"/>
      <c r="B378" s="55"/>
      <c r="C378" s="55"/>
      <c r="D378" s="55"/>
      <c r="E378" s="55"/>
      <c r="F378" s="55"/>
      <c r="G378" s="55"/>
      <c r="H378" s="55"/>
      <c r="I378" s="55"/>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5"/>
      <c r="AJ378" s="55"/>
      <c r="AK378" s="55"/>
      <c r="AL378" s="55"/>
      <c r="AM378" s="55"/>
      <c r="AN378" s="55"/>
      <c r="AO378" s="55"/>
      <c r="AP378" s="55"/>
      <c r="AQ378" s="55"/>
      <c r="AR378" s="55"/>
      <c r="AS378" s="55"/>
    </row>
    <row r="379" spans="1:45" x14ac:dyDescent="0.25">
      <c r="A379" s="55"/>
      <c r="B379" s="55"/>
      <c r="C379" s="55"/>
      <c r="D379" s="55"/>
      <c r="E379" s="55"/>
      <c r="F379" s="55"/>
      <c r="G379" s="55"/>
      <c r="H379" s="55"/>
      <c r="I379" s="55"/>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5"/>
      <c r="AJ379" s="55"/>
      <c r="AK379" s="55"/>
      <c r="AL379" s="55"/>
      <c r="AM379" s="55"/>
      <c r="AN379" s="55"/>
      <c r="AO379" s="55"/>
      <c r="AP379" s="55"/>
      <c r="AQ379" s="55"/>
      <c r="AR379" s="55"/>
      <c r="AS379" s="55"/>
    </row>
    <row r="380" spans="1:45" x14ac:dyDescent="0.25">
      <c r="A380" s="55"/>
      <c r="B380" s="55"/>
      <c r="C380" s="55"/>
      <c r="D380" s="55"/>
      <c r="E380" s="55"/>
      <c r="F380" s="55"/>
      <c r="G380" s="55"/>
      <c r="H380" s="55"/>
      <c r="I380" s="55"/>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5"/>
      <c r="AJ380" s="55"/>
      <c r="AK380" s="55"/>
      <c r="AL380" s="55"/>
      <c r="AM380" s="55"/>
      <c r="AN380" s="55"/>
      <c r="AO380" s="55"/>
      <c r="AP380" s="55"/>
      <c r="AQ380" s="55"/>
      <c r="AR380" s="55"/>
      <c r="AS380" s="55"/>
    </row>
    <row r="381" spans="1:45" x14ac:dyDescent="0.25">
      <c r="A381" s="55"/>
      <c r="B381" s="55"/>
      <c r="C381" s="55"/>
      <c r="D381" s="55"/>
      <c r="E381" s="55"/>
      <c r="F381" s="55"/>
      <c r="G381" s="55"/>
      <c r="H381" s="55"/>
      <c r="I381" s="55"/>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5"/>
      <c r="AJ381" s="55"/>
      <c r="AK381" s="55"/>
      <c r="AL381" s="55"/>
      <c r="AM381" s="55"/>
      <c r="AN381" s="55"/>
      <c r="AO381" s="55"/>
      <c r="AP381" s="55"/>
      <c r="AQ381" s="55"/>
      <c r="AR381" s="55"/>
      <c r="AS381" s="55"/>
    </row>
    <row r="382" spans="1:45" x14ac:dyDescent="0.25">
      <c r="A382" s="55"/>
      <c r="B382" s="55"/>
      <c r="C382" s="55"/>
      <c r="D382" s="55"/>
      <c r="E382" s="55"/>
      <c r="F382" s="55"/>
      <c r="G382" s="55"/>
      <c r="H382" s="55"/>
      <c r="I382" s="55"/>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5"/>
      <c r="AJ382" s="55"/>
      <c r="AK382" s="55"/>
      <c r="AL382" s="55"/>
      <c r="AM382" s="55"/>
      <c r="AN382" s="55"/>
      <c r="AO382" s="55"/>
      <c r="AP382" s="55"/>
      <c r="AQ382" s="55"/>
      <c r="AR382" s="55"/>
      <c r="AS382" s="55"/>
    </row>
    <row r="383" spans="1:45" x14ac:dyDescent="0.25">
      <c r="A383" s="55"/>
      <c r="B383" s="55"/>
      <c r="C383" s="55"/>
      <c r="D383" s="55"/>
      <c r="E383" s="55"/>
      <c r="F383" s="55"/>
      <c r="G383" s="55"/>
      <c r="H383" s="55"/>
      <c r="I383" s="55"/>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5"/>
      <c r="AJ383" s="55"/>
      <c r="AK383" s="55"/>
      <c r="AL383" s="55"/>
      <c r="AM383" s="55"/>
      <c r="AN383" s="55"/>
      <c r="AO383" s="55"/>
      <c r="AP383" s="55"/>
      <c r="AQ383" s="55"/>
      <c r="AR383" s="55"/>
      <c r="AS383" s="55"/>
    </row>
    <row r="384" spans="1:45" x14ac:dyDescent="0.25">
      <c r="A384" s="55"/>
      <c r="B384" s="55"/>
      <c r="C384" s="55"/>
      <c r="D384" s="55"/>
      <c r="E384" s="55"/>
      <c r="F384" s="55"/>
      <c r="G384" s="55"/>
      <c r="H384" s="55"/>
      <c r="I384" s="55"/>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5"/>
      <c r="AJ384" s="55"/>
      <c r="AK384" s="55"/>
      <c r="AL384" s="55"/>
      <c r="AM384" s="55"/>
      <c r="AN384" s="55"/>
      <c r="AO384" s="55"/>
      <c r="AP384" s="55"/>
      <c r="AQ384" s="55"/>
      <c r="AR384" s="55"/>
      <c r="AS384" s="55"/>
    </row>
    <row r="385" spans="1:45" x14ac:dyDescent="0.25">
      <c r="A385" s="55"/>
      <c r="B385" s="55"/>
      <c r="C385" s="55"/>
      <c r="D385" s="55"/>
      <c r="E385" s="55"/>
      <c r="F385" s="55"/>
      <c r="G385" s="55"/>
      <c r="H385" s="55"/>
      <c r="I385" s="55"/>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5"/>
      <c r="AJ385" s="55"/>
      <c r="AK385" s="55"/>
      <c r="AL385" s="55"/>
      <c r="AM385" s="55"/>
      <c r="AN385" s="55"/>
      <c r="AO385" s="55"/>
      <c r="AP385" s="55"/>
      <c r="AQ385" s="55"/>
      <c r="AR385" s="55"/>
      <c r="AS385" s="55"/>
    </row>
    <row r="386" spans="1:45" x14ac:dyDescent="0.25">
      <c r="A386" s="55"/>
      <c r="B386" s="55"/>
      <c r="C386" s="55"/>
      <c r="D386" s="55"/>
      <c r="E386" s="55"/>
      <c r="F386" s="55"/>
      <c r="G386" s="55"/>
      <c r="H386" s="55"/>
      <c r="I386" s="55"/>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5"/>
      <c r="AJ386" s="55"/>
      <c r="AK386" s="55"/>
      <c r="AL386" s="55"/>
      <c r="AM386" s="55"/>
      <c r="AN386" s="55"/>
      <c r="AO386" s="55"/>
      <c r="AP386" s="55"/>
      <c r="AQ386" s="55"/>
      <c r="AR386" s="55"/>
      <c r="AS386" s="55"/>
    </row>
    <row r="387" spans="1:45" x14ac:dyDescent="0.25">
      <c r="A387" s="55"/>
      <c r="B387" s="55"/>
      <c r="C387" s="55"/>
      <c r="D387" s="55"/>
      <c r="E387" s="55"/>
      <c r="F387" s="55"/>
      <c r="G387" s="55"/>
      <c r="H387" s="55"/>
      <c r="I387" s="55"/>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5"/>
      <c r="AJ387" s="55"/>
      <c r="AK387" s="55"/>
      <c r="AL387" s="55"/>
      <c r="AM387" s="55"/>
      <c r="AN387" s="55"/>
      <c r="AO387" s="55"/>
      <c r="AP387" s="55"/>
      <c r="AQ387" s="55"/>
      <c r="AR387" s="55"/>
      <c r="AS387" s="55"/>
    </row>
    <row r="388" spans="1:45" x14ac:dyDescent="0.25">
      <c r="A388" s="55"/>
      <c r="B388" s="55"/>
      <c r="C388" s="55"/>
      <c r="D388" s="55"/>
      <c r="E388" s="55"/>
      <c r="F388" s="55"/>
      <c r="G388" s="55"/>
      <c r="H388" s="55"/>
      <c r="I388" s="55"/>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5"/>
      <c r="AJ388" s="55"/>
      <c r="AK388" s="55"/>
      <c r="AL388" s="55"/>
      <c r="AM388" s="55"/>
      <c r="AN388" s="55"/>
      <c r="AO388" s="55"/>
      <c r="AP388" s="55"/>
      <c r="AQ388" s="55"/>
      <c r="AR388" s="55"/>
      <c r="AS388" s="55"/>
    </row>
    <row r="389" spans="1:45" x14ac:dyDescent="0.25">
      <c r="A389" s="55"/>
      <c r="B389" s="55"/>
      <c r="C389" s="55"/>
      <c r="D389" s="55"/>
      <c r="E389" s="55"/>
      <c r="F389" s="55"/>
      <c r="G389" s="55"/>
      <c r="H389" s="55"/>
      <c r="I389" s="55"/>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5"/>
      <c r="AJ389" s="55"/>
      <c r="AK389" s="55"/>
      <c r="AL389" s="55"/>
      <c r="AM389" s="55"/>
      <c r="AN389" s="55"/>
      <c r="AO389" s="55"/>
      <c r="AP389" s="55"/>
      <c r="AQ389" s="55"/>
      <c r="AR389" s="55"/>
      <c r="AS389" s="55"/>
    </row>
    <row r="390" spans="1:45" x14ac:dyDescent="0.25">
      <c r="A390" s="55"/>
      <c r="B390" s="55"/>
      <c r="C390" s="55"/>
      <c r="D390" s="55"/>
      <c r="E390" s="55"/>
      <c r="F390" s="55"/>
      <c r="G390" s="55"/>
      <c r="H390" s="55"/>
      <c r="I390" s="55"/>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5"/>
      <c r="AJ390" s="55"/>
      <c r="AK390" s="55"/>
      <c r="AL390" s="55"/>
      <c r="AM390" s="55"/>
      <c r="AN390" s="55"/>
      <c r="AO390" s="55"/>
      <c r="AP390" s="55"/>
      <c r="AQ390" s="55"/>
      <c r="AR390" s="55"/>
      <c r="AS390" s="55"/>
    </row>
    <row r="391" spans="1:45" x14ac:dyDescent="0.25">
      <c r="A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c r="AS391" s="55"/>
    </row>
    <row r="392" spans="1:45" x14ac:dyDescent="0.25">
      <c r="A392" s="55"/>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5"/>
      <c r="AJ392" s="55"/>
      <c r="AK392" s="55"/>
      <c r="AL392" s="55"/>
      <c r="AM392" s="55"/>
      <c r="AN392" s="55"/>
      <c r="AO392" s="55"/>
      <c r="AP392" s="55"/>
      <c r="AQ392" s="55"/>
      <c r="AR392" s="55"/>
      <c r="AS392" s="55"/>
    </row>
    <row r="393" spans="1:45" x14ac:dyDescent="0.25">
      <c r="A393" s="55"/>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5"/>
      <c r="AJ393" s="55"/>
      <c r="AK393" s="55"/>
      <c r="AL393" s="55"/>
      <c r="AM393" s="55"/>
      <c r="AN393" s="55"/>
      <c r="AO393" s="55"/>
      <c r="AP393" s="55"/>
      <c r="AQ393" s="55"/>
      <c r="AR393" s="55"/>
      <c r="AS393" s="55"/>
    </row>
    <row r="394" spans="1:45" x14ac:dyDescent="0.25">
      <c r="A394" s="55"/>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5"/>
      <c r="AJ394" s="55"/>
      <c r="AK394" s="55"/>
      <c r="AL394" s="55"/>
      <c r="AM394" s="55"/>
      <c r="AN394" s="55"/>
      <c r="AO394" s="55"/>
      <c r="AP394" s="55"/>
      <c r="AQ394" s="55"/>
      <c r="AR394" s="55"/>
      <c r="AS394" s="55"/>
    </row>
    <row r="395" spans="1:45" x14ac:dyDescent="0.25">
      <c r="A395" s="55"/>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5"/>
      <c r="AJ395" s="55"/>
      <c r="AK395" s="55"/>
      <c r="AL395" s="55"/>
      <c r="AM395" s="55"/>
      <c r="AN395" s="55"/>
      <c r="AO395" s="55"/>
      <c r="AP395" s="55"/>
      <c r="AQ395" s="55"/>
      <c r="AR395" s="55"/>
      <c r="AS395" s="55"/>
    </row>
    <row r="396" spans="1:45" x14ac:dyDescent="0.25">
      <c r="A396" s="55"/>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5"/>
      <c r="AJ396" s="55"/>
      <c r="AK396" s="55"/>
      <c r="AL396" s="55"/>
      <c r="AM396" s="55"/>
      <c r="AN396" s="55"/>
      <c r="AO396" s="55"/>
      <c r="AP396" s="55"/>
      <c r="AQ396" s="55"/>
      <c r="AR396" s="55"/>
      <c r="AS396" s="55"/>
    </row>
    <row r="397" spans="1:45" x14ac:dyDescent="0.25">
      <c r="A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c r="AS397" s="55"/>
    </row>
    <row r="398" spans="1:45" x14ac:dyDescent="0.25">
      <c r="A398" s="55"/>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5"/>
      <c r="AJ398" s="55"/>
      <c r="AK398" s="55"/>
      <c r="AL398" s="55"/>
      <c r="AM398" s="55"/>
      <c r="AN398" s="55"/>
      <c r="AO398" s="55"/>
      <c r="AP398" s="55"/>
      <c r="AQ398" s="55"/>
      <c r="AR398" s="55"/>
      <c r="AS398" s="55"/>
    </row>
    <row r="399" spans="1:45" x14ac:dyDescent="0.25">
      <c r="A399" s="55"/>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5"/>
      <c r="AJ399" s="55"/>
      <c r="AK399" s="55"/>
      <c r="AL399" s="55"/>
      <c r="AM399" s="55"/>
      <c r="AN399" s="55"/>
      <c r="AO399" s="55"/>
      <c r="AP399" s="55"/>
      <c r="AQ399" s="55"/>
      <c r="AR399" s="55"/>
      <c r="AS399" s="55"/>
    </row>
    <row r="400" spans="1:45" x14ac:dyDescent="0.25">
      <c r="A400" s="55"/>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5"/>
      <c r="AJ400" s="55"/>
      <c r="AK400" s="55"/>
      <c r="AL400" s="55"/>
      <c r="AM400" s="55"/>
      <c r="AN400" s="55"/>
      <c r="AO400" s="55"/>
      <c r="AP400" s="55"/>
      <c r="AQ400" s="55"/>
      <c r="AR400" s="55"/>
      <c r="AS400" s="55"/>
    </row>
    <row r="401" spans="1:45" x14ac:dyDescent="0.25">
      <c r="A401" s="55"/>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5"/>
      <c r="AJ401" s="55"/>
      <c r="AK401" s="55"/>
      <c r="AL401" s="55"/>
      <c r="AM401" s="55"/>
      <c r="AN401" s="55"/>
      <c r="AO401" s="55"/>
      <c r="AP401" s="55"/>
      <c r="AQ401" s="55"/>
      <c r="AR401" s="55"/>
      <c r="AS401" s="55"/>
    </row>
    <row r="402" spans="1:45" x14ac:dyDescent="0.25">
      <c r="A402" s="55"/>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5"/>
      <c r="AJ402" s="55"/>
      <c r="AK402" s="55"/>
      <c r="AL402" s="55"/>
      <c r="AM402" s="55"/>
      <c r="AN402" s="55"/>
      <c r="AO402" s="55"/>
      <c r="AP402" s="55"/>
      <c r="AQ402" s="55"/>
      <c r="AR402" s="55"/>
      <c r="AS402" s="55"/>
    </row>
    <row r="403" spans="1:45" x14ac:dyDescent="0.25">
      <c r="A403" s="55"/>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5"/>
      <c r="AJ403" s="55"/>
      <c r="AK403" s="55"/>
      <c r="AL403" s="55"/>
      <c r="AM403" s="55"/>
      <c r="AN403" s="55"/>
      <c r="AO403" s="55"/>
      <c r="AP403" s="55"/>
      <c r="AQ403" s="55"/>
      <c r="AR403" s="55"/>
      <c r="AS403" s="55"/>
    </row>
    <row r="404" spans="1:45" x14ac:dyDescent="0.25">
      <c r="A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c r="AR404" s="55"/>
      <c r="AS404" s="55"/>
    </row>
    <row r="405" spans="1:45" x14ac:dyDescent="0.25">
      <c r="A405" s="55"/>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5"/>
      <c r="AJ405" s="55"/>
      <c r="AK405" s="55"/>
      <c r="AL405" s="55"/>
      <c r="AM405" s="55"/>
      <c r="AN405" s="55"/>
      <c r="AO405" s="55"/>
      <c r="AP405" s="55"/>
      <c r="AQ405" s="55"/>
      <c r="AR405" s="55"/>
      <c r="AS405" s="55"/>
    </row>
    <row r="406" spans="1:45" x14ac:dyDescent="0.25">
      <c r="A406" s="55"/>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5"/>
      <c r="AJ406" s="55"/>
      <c r="AK406" s="55"/>
      <c r="AL406" s="55"/>
      <c r="AM406" s="55"/>
      <c r="AN406" s="55"/>
      <c r="AO406" s="55"/>
      <c r="AP406" s="55"/>
      <c r="AQ406" s="55"/>
      <c r="AR406" s="55"/>
      <c r="AS406" s="55"/>
    </row>
    <row r="407" spans="1:45" x14ac:dyDescent="0.25">
      <c r="A407" s="55"/>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5"/>
      <c r="AJ407" s="55"/>
      <c r="AK407" s="55"/>
      <c r="AL407" s="55"/>
      <c r="AM407" s="55"/>
      <c r="AN407" s="55"/>
      <c r="AO407" s="55"/>
      <c r="AP407" s="55"/>
      <c r="AQ407" s="55"/>
      <c r="AR407" s="55"/>
      <c r="AS407" s="55"/>
    </row>
    <row r="408" spans="1:45" x14ac:dyDescent="0.25">
      <c r="A408" s="55"/>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5"/>
      <c r="AJ408" s="55"/>
      <c r="AK408" s="55"/>
      <c r="AL408" s="55"/>
      <c r="AM408" s="55"/>
      <c r="AN408" s="55"/>
      <c r="AO408" s="55"/>
      <c r="AP408" s="55"/>
      <c r="AQ408" s="55"/>
      <c r="AR408" s="55"/>
      <c r="AS408" s="55"/>
    </row>
    <row r="409" spans="1:45" x14ac:dyDescent="0.25">
      <c r="A409" s="55"/>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5"/>
      <c r="AJ409" s="55"/>
      <c r="AK409" s="55"/>
      <c r="AL409" s="55"/>
      <c r="AM409" s="55"/>
      <c r="AN409" s="55"/>
      <c r="AO409" s="55"/>
      <c r="AP409" s="55"/>
      <c r="AQ409" s="55"/>
      <c r="AR409" s="55"/>
      <c r="AS409" s="55"/>
    </row>
    <row r="410" spans="1:45" x14ac:dyDescent="0.25">
      <c r="A410" s="55"/>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5"/>
      <c r="AJ410" s="55"/>
      <c r="AK410" s="55"/>
      <c r="AL410" s="55"/>
      <c r="AM410" s="55"/>
      <c r="AN410" s="55"/>
      <c r="AO410" s="55"/>
      <c r="AP410" s="55"/>
      <c r="AQ410" s="55"/>
      <c r="AR410" s="55"/>
      <c r="AS410" s="55"/>
    </row>
    <row r="411" spans="1:45" x14ac:dyDescent="0.25">
      <c r="A411" s="55"/>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5"/>
      <c r="AJ411" s="55"/>
      <c r="AK411" s="55"/>
      <c r="AL411" s="55"/>
      <c r="AM411" s="55"/>
      <c r="AN411" s="55"/>
      <c r="AO411" s="55"/>
      <c r="AP411" s="55"/>
      <c r="AQ411" s="55"/>
      <c r="AR411" s="55"/>
      <c r="AS411" s="55"/>
    </row>
    <row r="412" spans="1:45" x14ac:dyDescent="0.25">
      <c r="A412" s="55"/>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5"/>
      <c r="AJ412" s="55"/>
      <c r="AK412" s="55"/>
      <c r="AL412" s="55"/>
      <c r="AM412" s="55"/>
      <c r="AN412" s="55"/>
      <c r="AO412" s="55"/>
      <c r="AP412" s="55"/>
      <c r="AQ412" s="55"/>
      <c r="AR412" s="55"/>
      <c r="AS412" s="55"/>
    </row>
    <row r="413" spans="1:45" x14ac:dyDescent="0.25">
      <c r="A413" s="55"/>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5"/>
      <c r="AJ413" s="55"/>
      <c r="AK413" s="55"/>
      <c r="AL413" s="55"/>
      <c r="AM413" s="55"/>
      <c r="AN413" s="55"/>
      <c r="AO413" s="55"/>
      <c r="AP413" s="55"/>
      <c r="AQ413" s="55"/>
      <c r="AR413" s="55"/>
      <c r="AS413" s="55"/>
    </row>
    <row r="414" spans="1:45" x14ac:dyDescent="0.25">
      <c r="A414" s="55"/>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5"/>
      <c r="AJ414" s="55"/>
      <c r="AK414" s="55"/>
      <c r="AL414" s="55"/>
      <c r="AM414" s="55"/>
      <c r="AN414" s="55"/>
      <c r="AO414" s="55"/>
      <c r="AP414" s="55"/>
      <c r="AQ414" s="55"/>
      <c r="AR414" s="55"/>
      <c r="AS414" s="55"/>
    </row>
    <row r="415" spans="1:45" x14ac:dyDescent="0.25">
      <c r="A415" s="55"/>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5"/>
      <c r="AJ415" s="55"/>
      <c r="AK415" s="55"/>
      <c r="AL415" s="55"/>
      <c r="AM415" s="55"/>
      <c r="AN415" s="55"/>
      <c r="AO415" s="55"/>
      <c r="AP415" s="55"/>
      <c r="AQ415" s="55"/>
      <c r="AR415" s="55"/>
      <c r="AS415" s="55"/>
    </row>
    <row r="416" spans="1:45" x14ac:dyDescent="0.25">
      <c r="A416" s="55"/>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5"/>
      <c r="AJ416" s="55"/>
      <c r="AK416" s="55"/>
      <c r="AL416" s="55"/>
      <c r="AM416" s="55"/>
      <c r="AN416" s="55"/>
      <c r="AO416" s="55"/>
      <c r="AP416" s="55"/>
      <c r="AQ416" s="55"/>
      <c r="AR416" s="55"/>
      <c r="AS416" s="55"/>
    </row>
    <row r="417" spans="1:45" x14ac:dyDescent="0.25">
      <c r="A417" s="55"/>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5"/>
      <c r="AJ417" s="55"/>
      <c r="AK417" s="55"/>
      <c r="AL417" s="55"/>
      <c r="AM417" s="55"/>
      <c r="AN417" s="55"/>
      <c r="AO417" s="55"/>
      <c r="AP417" s="55"/>
      <c r="AQ417" s="55"/>
      <c r="AR417" s="55"/>
      <c r="AS417" s="55"/>
    </row>
    <row r="418" spans="1:45" x14ac:dyDescent="0.25">
      <c r="A418" s="55"/>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5"/>
      <c r="AJ418" s="55"/>
      <c r="AK418" s="55"/>
      <c r="AL418" s="55"/>
      <c r="AM418" s="55"/>
      <c r="AN418" s="55"/>
      <c r="AO418" s="55"/>
      <c r="AP418" s="55"/>
      <c r="AQ418" s="55"/>
      <c r="AR418" s="55"/>
      <c r="AS418" s="55"/>
    </row>
    <row r="419" spans="1:45" x14ac:dyDescent="0.25">
      <c r="A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c r="AR419" s="55"/>
      <c r="AS419" s="55"/>
    </row>
    <row r="420" spans="1:45" x14ac:dyDescent="0.25">
      <c r="A420" s="55"/>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5"/>
      <c r="AJ420" s="55"/>
      <c r="AK420" s="55"/>
      <c r="AL420" s="55"/>
      <c r="AM420" s="55"/>
      <c r="AN420" s="55"/>
      <c r="AO420" s="55"/>
      <c r="AP420" s="55"/>
      <c r="AQ420" s="55"/>
      <c r="AR420" s="55"/>
      <c r="AS420" s="55"/>
    </row>
    <row r="421" spans="1:45" x14ac:dyDescent="0.25">
      <c r="A421" s="55"/>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5"/>
      <c r="AJ421" s="55"/>
      <c r="AK421" s="55"/>
      <c r="AL421" s="55"/>
      <c r="AM421" s="55"/>
      <c r="AN421" s="55"/>
      <c r="AO421" s="55"/>
      <c r="AP421" s="55"/>
      <c r="AQ421" s="55"/>
      <c r="AR421" s="55"/>
      <c r="AS421" s="55"/>
    </row>
    <row r="422" spans="1:45" x14ac:dyDescent="0.25">
      <c r="A422" s="55"/>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5"/>
      <c r="AJ422" s="55"/>
      <c r="AK422" s="55"/>
      <c r="AL422" s="55"/>
      <c r="AM422" s="55"/>
      <c r="AN422" s="55"/>
      <c r="AO422" s="55"/>
      <c r="AP422" s="55"/>
      <c r="AQ422" s="55"/>
      <c r="AR422" s="55"/>
      <c r="AS422" s="55"/>
    </row>
    <row r="423" spans="1:45" x14ac:dyDescent="0.25">
      <c r="A423" s="55"/>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5"/>
      <c r="AJ423" s="55"/>
      <c r="AK423" s="55"/>
      <c r="AL423" s="55"/>
      <c r="AM423" s="55"/>
      <c r="AN423" s="55"/>
      <c r="AO423" s="55"/>
      <c r="AP423" s="55"/>
      <c r="AQ423" s="55"/>
      <c r="AR423" s="55"/>
      <c r="AS423" s="55"/>
    </row>
    <row r="424" spans="1:45" x14ac:dyDescent="0.25">
      <c r="A424" s="55"/>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5"/>
      <c r="AJ424" s="55"/>
      <c r="AK424" s="55"/>
      <c r="AL424" s="55"/>
      <c r="AM424" s="55"/>
      <c r="AN424" s="55"/>
      <c r="AO424" s="55"/>
      <c r="AP424" s="55"/>
      <c r="AQ424" s="55"/>
      <c r="AR424" s="55"/>
      <c r="AS424" s="55"/>
    </row>
    <row r="425" spans="1:45" x14ac:dyDescent="0.25">
      <c r="A425" s="55"/>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5"/>
      <c r="AJ425" s="55"/>
      <c r="AK425" s="55"/>
      <c r="AL425" s="55"/>
      <c r="AM425" s="55"/>
      <c r="AN425" s="55"/>
      <c r="AO425" s="55"/>
      <c r="AP425" s="55"/>
      <c r="AQ425" s="55"/>
      <c r="AR425" s="55"/>
      <c r="AS425" s="55"/>
    </row>
    <row r="426" spans="1:45" x14ac:dyDescent="0.25">
      <c r="A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c r="AS426" s="55"/>
    </row>
    <row r="427" spans="1:45" x14ac:dyDescent="0.25">
      <c r="A427" s="55"/>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5"/>
      <c r="AJ427" s="55"/>
      <c r="AK427" s="55"/>
      <c r="AL427" s="55"/>
      <c r="AM427" s="55"/>
      <c r="AN427" s="55"/>
      <c r="AO427" s="55"/>
      <c r="AP427" s="55"/>
      <c r="AQ427" s="55"/>
      <c r="AR427" s="55"/>
      <c r="AS427" s="55"/>
    </row>
    <row r="428" spans="1:45" x14ac:dyDescent="0.25">
      <c r="A428" s="55"/>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5"/>
      <c r="AJ428" s="55"/>
      <c r="AK428" s="55"/>
      <c r="AL428" s="55"/>
      <c r="AM428" s="55"/>
      <c r="AN428" s="55"/>
      <c r="AO428" s="55"/>
      <c r="AP428" s="55"/>
      <c r="AQ428" s="55"/>
      <c r="AR428" s="55"/>
      <c r="AS428" s="55"/>
    </row>
    <row r="429" spans="1:45" x14ac:dyDescent="0.25">
      <c r="A429" s="55"/>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5"/>
      <c r="AJ429" s="55"/>
      <c r="AK429" s="55"/>
      <c r="AL429" s="55"/>
      <c r="AM429" s="55"/>
      <c r="AN429" s="55"/>
      <c r="AO429" s="55"/>
      <c r="AP429" s="55"/>
      <c r="AQ429" s="55"/>
      <c r="AR429" s="55"/>
      <c r="AS429" s="55"/>
    </row>
    <row r="430" spans="1:45" x14ac:dyDescent="0.25">
      <c r="A430" s="55"/>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5"/>
      <c r="AJ430" s="55"/>
      <c r="AK430" s="55"/>
      <c r="AL430" s="55"/>
      <c r="AM430" s="55"/>
      <c r="AN430" s="55"/>
      <c r="AO430" s="55"/>
      <c r="AP430" s="55"/>
      <c r="AQ430" s="55"/>
      <c r="AR430" s="55"/>
      <c r="AS430" s="55"/>
    </row>
    <row r="431" spans="1:45" x14ac:dyDescent="0.25">
      <c r="A431" s="55"/>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5"/>
      <c r="AJ431" s="55"/>
      <c r="AK431" s="55"/>
      <c r="AL431" s="55"/>
      <c r="AM431" s="55"/>
      <c r="AN431" s="55"/>
      <c r="AO431" s="55"/>
      <c r="AP431" s="55"/>
      <c r="AQ431" s="55"/>
      <c r="AR431" s="55"/>
      <c r="AS431" s="55"/>
    </row>
    <row r="432" spans="1:45" x14ac:dyDescent="0.25">
      <c r="A432" s="55"/>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5"/>
      <c r="AJ432" s="55"/>
      <c r="AK432" s="55"/>
      <c r="AL432" s="55"/>
      <c r="AM432" s="55"/>
      <c r="AN432" s="55"/>
      <c r="AO432" s="55"/>
      <c r="AP432" s="55"/>
      <c r="AQ432" s="55"/>
      <c r="AR432" s="55"/>
      <c r="AS432" s="55"/>
    </row>
    <row r="433" spans="1:45" x14ac:dyDescent="0.25">
      <c r="A433" s="55"/>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5"/>
      <c r="AJ433" s="55"/>
      <c r="AK433" s="55"/>
      <c r="AL433" s="55"/>
      <c r="AM433" s="55"/>
      <c r="AN433" s="55"/>
      <c r="AO433" s="55"/>
      <c r="AP433" s="55"/>
      <c r="AQ433" s="55"/>
      <c r="AR433" s="55"/>
      <c r="AS433" s="55"/>
    </row>
    <row r="434" spans="1:45" x14ac:dyDescent="0.25">
      <c r="A434" s="55"/>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5"/>
      <c r="AJ434" s="55"/>
      <c r="AK434" s="55"/>
      <c r="AL434" s="55"/>
      <c r="AM434" s="55"/>
      <c r="AN434" s="55"/>
      <c r="AO434" s="55"/>
      <c r="AP434" s="55"/>
      <c r="AQ434" s="55"/>
      <c r="AR434" s="55"/>
      <c r="AS434" s="55"/>
    </row>
    <row r="435" spans="1:45" x14ac:dyDescent="0.25">
      <c r="A435" s="55"/>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5"/>
      <c r="AJ435" s="55"/>
      <c r="AK435" s="55"/>
      <c r="AL435" s="55"/>
      <c r="AM435" s="55"/>
      <c r="AN435" s="55"/>
      <c r="AO435" s="55"/>
      <c r="AP435" s="55"/>
      <c r="AQ435" s="55"/>
      <c r="AR435" s="55"/>
      <c r="AS435" s="55"/>
    </row>
    <row r="436" spans="1:45" x14ac:dyDescent="0.25">
      <c r="A436" s="55"/>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5"/>
      <c r="AJ436" s="55"/>
      <c r="AK436" s="55"/>
      <c r="AL436" s="55"/>
      <c r="AM436" s="55"/>
      <c r="AN436" s="55"/>
      <c r="AO436" s="55"/>
      <c r="AP436" s="55"/>
      <c r="AQ436" s="55"/>
      <c r="AR436" s="55"/>
      <c r="AS436" s="55"/>
    </row>
    <row r="437" spans="1:45" x14ac:dyDescent="0.25">
      <c r="A437" s="55"/>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5"/>
      <c r="AJ437" s="55"/>
      <c r="AK437" s="55"/>
      <c r="AL437" s="55"/>
      <c r="AM437" s="55"/>
      <c r="AN437" s="55"/>
      <c r="AO437" s="55"/>
      <c r="AP437" s="55"/>
      <c r="AQ437" s="55"/>
      <c r="AR437" s="55"/>
      <c r="AS437" s="55"/>
    </row>
    <row r="438" spans="1:45" x14ac:dyDescent="0.25">
      <c r="A438" s="55"/>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5"/>
      <c r="AJ438" s="55"/>
      <c r="AK438" s="55"/>
      <c r="AL438" s="55"/>
      <c r="AM438" s="55"/>
      <c r="AN438" s="55"/>
      <c r="AO438" s="55"/>
      <c r="AP438" s="55"/>
      <c r="AQ438" s="55"/>
      <c r="AR438" s="55"/>
      <c r="AS438" s="55"/>
    </row>
    <row r="439" spans="1:45" x14ac:dyDescent="0.25">
      <c r="A439" s="55"/>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5"/>
      <c r="AJ439" s="55"/>
      <c r="AK439" s="55"/>
      <c r="AL439" s="55"/>
      <c r="AM439" s="55"/>
      <c r="AN439" s="55"/>
      <c r="AO439" s="55"/>
      <c r="AP439" s="55"/>
      <c r="AQ439" s="55"/>
      <c r="AR439" s="55"/>
      <c r="AS439" s="55"/>
    </row>
    <row r="440" spans="1:45" x14ac:dyDescent="0.25">
      <c r="A440" s="55"/>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5"/>
      <c r="AJ440" s="55"/>
      <c r="AK440" s="55"/>
      <c r="AL440" s="55"/>
      <c r="AM440" s="55"/>
      <c r="AN440" s="55"/>
      <c r="AO440" s="55"/>
      <c r="AP440" s="55"/>
      <c r="AQ440" s="55"/>
      <c r="AR440" s="55"/>
      <c r="AS440" s="55"/>
    </row>
    <row r="441" spans="1:45" x14ac:dyDescent="0.25">
      <c r="A441" s="55"/>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5"/>
      <c r="AJ441" s="55"/>
      <c r="AK441" s="55"/>
      <c r="AL441" s="55"/>
      <c r="AM441" s="55"/>
      <c r="AN441" s="55"/>
      <c r="AO441" s="55"/>
      <c r="AP441" s="55"/>
      <c r="AQ441" s="55"/>
      <c r="AR441" s="55"/>
      <c r="AS441" s="55"/>
    </row>
    <row r="442" spans="1:45" x14ac:dyDescent="0.25">
      <c r="A442" s="55"/>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5"/>
      <c r="AJ442" s="55"/>
      <c r="AK442" s="55"/>
      <c r="AL442" s="55"/>
      <c r="AM442" s="55"/>
      <c r="AN442" s="55"/>
      <c r="AO442" s="55"/>
      <c r="AP442" s="55"/>
      <c r="AQ442" s="55"/>
      <c r="AR442" s="55"/>
      <c r="AS442" s="55"/>
    </row>
    <row r="443" spans="1:45" x14ac:dyDescent="0.25">
      <c r="A443" s="55"/>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5"/>
      <c r="AJ443" s="55"/>
      <c r="AK443" s="55"/>
      <c r="AL443" s="55"/>
      <c r="AM443" s="55"/>
      <c r="AN443" s="55"/>
      <c r="AO443" s="55"/>
      <c r="AP443" s="55"/>
      <c r="AQ443" s="55"/>
      <c r="AR443" s="55"/>
      <c r="AS443" s="55"/>
    </row>
    <row r="444" spans="1:45" x14ac:dyDescent="0.25">
      <c r="A444" s="55"/>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5"/>
      <c r="AJ444" s="55"/>
      <c r="AK444" s="55"/>
      <c r="AL444" s="55"/>
      <c r="AM444" s="55"/>
      <c r="AN444" s="55"/>
      <c r="AO444" s="55"/>
      <c r="AP444" s="55"/>
      <c r="AQ444" s="55"/>
      <c r="AR444" s="55"/>
      <c r="AS444" s="55"/>
    </row>
    <row r="445" spans="1:45" x14ac:dyDescent="0.25">
      <c r="A445" s="55"/>
    </row>
    <row r="446" spans="1:45" x14ac:dyDescent="0.25">
      <c r="A446" s="55"/>
    </row>
    <row r="447" spans="1:45" x14ac:dyDescent="0.25">
      <c r="A447" s="55"/>
    </row>
    <row r="448" spans="1:45" x14ac:dyDescent="0.25">
      <c r="A448" s="55"/>
    </row>
  </sheetData>
  <mergeCells count="17">
    <mergeCell ref="J256:L261"/>
    <mergeCell ref="M256:O261"/>
    <mergeCell ref="P256:R261"/>
    <mergeCell ref="S256:U261"/>
    <mergeCell ref="V256:X261"/>
    <mergeCell ref="Z56:AE105"/>
    <mergeCell ref="E56:I105"/>
    <mergeCell ref="Z6:AE55"/>
    <mergeCell ref="B2:I4"/>
    <mergeCell ref="J2:X4"/>
    <mergeCell ref="B6:D255"/>
    <mergeCell ref="E6:I55"/>
    <mergeCell ref="E206:I255"/>
    <mergeCell ref="Z156:AE205"/>
    <mergeCell ref="E156:I205"/>
    <mergeCell ref="Z106:AE155"/>
    <mergeCell ref="E106:I15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2060"/>
  </sheetPr>
  <dimension ref="A1:AY155"/>
  <sheetViews>
    <sheetView tabSelected="1" topLeftCell="I1" zoomScale="96" zoomScaleNormal="96" workbookViewId="0">
      <pane ySplit="6" topLeftCell="A7" activePane="bottomLeft" state="frozen"/>
      <selection activeCell="A6" sqref="A6"/>
      <selection pane="bottomLeft" activeCell="AN145" sqref="AN145"/>
    </sheetView>
  </sheetViews>
  <sheetFormatPr baseColWidth="10" defaultColWidth="11.42578125" defaultRowHeight="16.5" x14ac:dyDescent="0.25"/>
  <cols>
    <col min="1" max="1" width="4" style="1" bestFit="1" customWidth="1"/>
    <col min="2" max="2" width="21.7109375" style="1" customWidth="1"/>
    <col min="3" max="3" width="25.5703125" style="1" customWidth="1"/>
    <col min="4" max="4" width="20.5703125" style="1" customWidth="1"/>
    <col min="5" max="5" width="15.5703125" style="1" customWidth="1"/>
    <col min="6" max="6" width="24.42578125" style="1" customWidth="1"/>
    <col min="7" max="7" width="21.85546875" style="1" customWidth="1"/>
    <col min="8" max="8" width="32.42578125" style="2" customWidth="1"/>
    <col min="9" max="9" width="19" style="1" customWidth="1"/>
    <col min="10" max="10" width="17.85546875" style="1" hidden="1" customWidth="1"/>
    <col min="11" max="11" width="16.5703125" style="1" hidden="1" customWidth="1"/>
    <col min="12" max="12" width="6.28515625" style="1" hidden="1" customWidth="1"/>
    <col min="13" max="13" width="33" style="1" hidden="1" customWidth="1"/>
    <col min="14" max="14" width="42" style="1" hidden="1" customWidth="1"/>
    <col min="15" max="15" width="15.42578125" style="1" hidden="1" customWidth="1"/>
    <col min="16" max="16" width="6.28515625" style="1" hidden="1" customWidth="1"/>
    <col min="17" max="17" width="16" style="1" hidden="1" customWidth="1"/>
    <col min="18" max="18" width="5.85546875" style="1" customWidth="1"/>
    <col min="19" max="19" width="53.5703125" style="2" customWidth="1"/>
    <col min="20" max="20" width="15.140625" style="1" hidden="1" customWidth="1"/>
    <col min="21" max="21" width="6.85546875" style="1" hidden="1" customWidth="1"/>
    <col min="22" max="22" width="5" style="1" hidden="1" customWidth="1"/>
    <col min="23" max="23" width="5.5703125" style="1" hidden="1" customWidth="1"/>
    <col min="24" max="24" width="7.140625" style="1" hidden="1" customWidth="1"/>
    <col min="25" max="25" width="6.7109375" style="1" hidden="1" customWidth="1"/>
    <col min="26" max="26" width="7.5703125" style="1" hidden="1" customWidth="1"/>
    <col min="27" max="27" width="10.5703125" style="1" hidden="1" customWidth="1"/>
    <col min="28" max="28" width="8.7109375" style="1" hidden="1" customWidth="1"/>
    <col min="29" max="29" width="8.85546875" style="1" hidden="1" customWidth="1"/>
    <col min="30" max="30" width="9.28515625" style="1" hidden="1" customWidth="1"/>
    <col min="31" max="31" width="9.42578125" style="1" hidden="1" customWidth="1"/>
    <col min="32" max="32" width="8.42578125" style="1" hidden="1" customWidth="1"/>
    <col min="33" max="33" width="7.28515625" style="1" hidden="1" customWidth="1"/>
    <col min="34" max="34" width="38.85546875" style="2" customWidth="1"/>
    <col min="35" max="35" width="18.85546875" style="1" hidden="1" customWidth="1"/>
    <col min="36" max="36" width="12.5703125" style="120" hidden="1" customWidth="1"/>
    <col min="37" max="37" width="16.140625" style="120" hidden="1" customWidth="1"/>
    <col min="38" max="38" width="37.7109375" style="121" hidden="1" customWidth="1"/>
    <col min="39" max="39" width="62.7109375" style="2" customWidth="1"/>
    <col min="40" max="40" width="60.140625" style="2" customWidth="1"/>
    <col min="41" max="41" width="8.85546875" style="1" customWidth="1"/>
    <col min="42" max="42" width="56.42578125" style="2" customWidth="1"/>
    <col min="43" max="43" width="33.28515625" style="2" customWidth="1"/>
    <col min="44" max="44" width="9.140625" style="1" customWidth="1"/>
    <col min="45" max="46" width="6.85546875" style="2" customWidth="1"/>
    <col min="47" max="49" width="15.5703125" style="2" customWidth="1"/>
    <col min="50" max="50" width="50.85546875" style="2" customWidth="1"/>
    <col min="51" max="93" width="11.42578125" style="2" customWidth="1"/>
    <col min="94" max="16384" width="11.42578125" style="2"/>
  </cols>
  <sheetData>
    <row r="1" spans="1:50" ht="16.5" customHeight="1" x14ac:dyDescent="0.25">
      <c r="A1" s="443" t="s">
        <v>525</v>
      </c>
      <c r="B1" s="444"/>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row>
    <row r="2" spans="1:50" ht="24" customHeight="1" x14ac:dyDescent="0.25">
      <c r="A2" s="445"/>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row>
    <row r="3" spans="1:50" x14ac:dyDescent="0.25">
      <c r="A3" s="21"/>
      <c r="B3" s="21"/>
      <c r="C3" s="21"/>
      <c r="D3" s="21"/>
      <c r="E3" s="22"/>
      <c r="F3" s="21"/>
      <c r="G3" s="21"/>
      <c r="H3" s="20"/>
      <c r="I3" s="21"/>
      <c r="J3" s="21"/>
      <c r="K3" s="21"/>
      <c r="L3" s="21"/>
      <c r="M3" s="21"/>
      <c r="N3" s="21"/>
      <c r="O3" s="21"/>
      <c r="P3" s="21"/>
      <c r="Q3" s="21"/>
      <c r="R3" s="21"/>
      <c r="S3" s="20"/>
      <c r="T3" s="21"/>
      <c r="U3" s="21"/>
      <c r="V3" s="21"/>
      <c r="W3" s="21"/>
      <c r="X3" s="21"/>
      <c r="Y3" s="21"/>
      <c r="Z3" s="21"/>
      <c r="AA3" s="21"/>
      <c r="AB3" s="21"/>
      <c r="AC3" s="21"/>
      <c r="AD3" s="21"/>
      <c r="AE3" s="21"/>
      <c r="AF3" s="21"/>
      <c r="AG3" s="21"/>
      <c r="AH3" s="20"/>
      <c r="AI3" s="21"/>
      <c r="AJ3" s="118"/>
      <c r="AK3" s="118"/>
      <c r="AL3" s="119"/>
    </row>
    <row r="4" spans="1:50" x14ac:dyDescent="0.25">
      <c r="A4" s="447" t="s">
        <v>125</v>
      </c>
      <c r="B4" s="448"/>
      <c r="C4" s="448"/>
      <c r="D4" s="448"/>
      <c r="E4" s="448"/>
      <c r="F4" s="448"/>
      <c r="G4" s="448"/>
      <c r="H4" s="448"/>
      <c r="I4" s="448"/>
      <c r="J4" s="449"/>
      <c r="K4" s="447" t="s">
        <v>126</v>
      </c>
      <c r="L4" s="448"/>
      <c r="M4" s="448"/>
      <c r="N4" s="448"/>
      <c r="O4" s="448"/>
      <c r="P4" s="448"/>
      <c r="Q4" s="449"/>
      <c r="R4" s="447" t="s">
        <v>127</v>
      </c>
      <c r="S4" s="448"/>
      <c r="T4" s="448"/>
      <c r="U4" s="448"/>
      <c r="V4" s="448"/>
      <c r="W4" s="448"/>
      <c r="X4" s="448"/>
      <c r="Y4" s="448"/>
      <c r="Z4" s="449"/>
      <c r="AA4" s="447" t="s">
        <v>128</v>
      </c>
      <c r="AB4" s="448"/>
      <c r="AC4" s="448"/>
      <c r="AD4" s="448"/>
      <c r="AE4" s="448"/>
      <c r="AF4" s="448"/>
      <c r="AG4" s="449"/>
      <c r="AH4" s="447" t="s">
        <v>34</v>
      </c>
      <c r="AI4" s="448"/>
      <c r="AJ4" s="448"/>
      <c r="AK4" s="448"/>
      <c r="AL4" s="448"/>
      <c r="AM4" s="362" t="s">
        <v>624</v>
      </c>
      <c r="AN4" s="363"/>
      <c r="AO4" s="363"/>
      <c r="AP4" s="363"/>
      <c r="AQ4" s="363"/>
      <c r="AR4" s="363"/>
      <c r="AS4" s="363"/>
      <c r="AT4" s="363"/>
      <c r="AU4" s="363"/>
      <c r="AV4" s="363"/>
      <c r="AW4" s="363"/>
      <c r="AX4" s="363"/>
    </row>
    <row r="5" spans="1:50" ht="16.5" customHeight="1" x14ac:dyDescent="0.25">
      <c r="A5" s="453" t="s">
        <v>0</v>
      </c>
      <c r="B5" s="456" t="s">
        <v>188</v>
      </c>
      <c r="C5" s="456" t="s">
        <v>189</v>
      </c>
      <c r="D5" s="456" t="s">
        <v>172</v>
      </c>
      <c r="E5" s="458" t="s">
        <v>2</v>
      </c>
      <c r="F5" s="456" t="s">
        <v>3</v>
      </c>
      <c r="G5" s="456" t="s">
        <v>38</v>
      </c>
      <c r="H5" s="457" t="s">
        <v>1</v>
      </c>
      <c r="I5" s="455" t="s">
        <v>44</v>
      </c>
      <c r="J5" s="456" t="s">
        <v>121</v>
      </c>
      <c r="K5" s="459" t="s">
        <v>33</v>
      </c>
      <c r="L5" s="460" t="s">
        <v>5</v>
      </c>
      <c r="M5" s="455" t="s">
        <v>80</v>
      </c>
      <c r="N5" s="455" t="s">
        <v>85</v>
      </c>
      <c r="O5" s="461" t="s">
        <v>39</v>
      </c>
      <c r="P5" s="460" t="s">
        <v>5</v>
      </c>
      <c r="Q5" s="456" t="s">
        <v>42</v>
      </c>
      <c r="R5" s="450" t="s">
        <v>11</v>
      </c>
      <c r="S5" s="367" t="s">
        <v>137</v>
      </c>
      <c r="T5" s="455" t="s">
        <v>12</v>
      </c>
      <c r="U5" s="367" t="s">
        <v>8</v>
      </c>
      <c r="V5" s="367"/>
      <c r="W5" s="367"/>
      <c r="X5" s="367"/>
      <c r="Y5" s="367"/>
      <c r="Z5" s="367"/>
      <c r="AA5" s="452" t="s">
        <v>124</v>
      </c>
      <c r="AB5" s="452" t="s">
        <v>40</v>
      </c>
      <c r="AC5" s="452" t="s">
        <v>5</v>
      </c>
      <c r="AD5" s="452" t="s">
        <v>41</v>
      </c>
      <c r="AE5" s="452" t="s">
        <v>5</v>
      </c>
      <c r="AF5" s="452" t="s">
        <v>43</v>
      </c>
      <c r="AG5" s="450" t="s">
        <v>29</v>
      </c>
      <c r="AH5" s="367" t="s">
        <v>190</v>
      </c>
      <c r="AI5" s="367" t="s">
        <v>204</v>
      </c>
      <c r="AJ5" s="367" t="s">
        <v>194</v>
      </c>
      <c r="AK5" s="367" t="s">
        <v>195</v>
      </c>
      <c r="AL5" s="367" t="s">
        <v>606</v>
      </c>
      <c r="AM5" s="364" t="s">
        <v>609</v>
      </c>
      <c r="AN5" s="365"/>
      <c r="AO5" s="366"/>
      <c r="AP5" s="364" t="s">
        <v>610</v>
      </c>
      <c r="AQ5" s="365"/>
      <c r="AR5" s="366"/>
      <c r="AS5" s="367" t="s">
        <v>611</v>
      </c>
      <c r="AT5" s="367"/>
      <c r="AU5" s="367"/>
      <c r="AV5" s="367" t="s">
        <v>612</v>
      </c>
      <c r="AW5" s="367"/>
      <c r="AX5" s="367" t="s">
        <v>613</v>
      </c>
    </row>
    <row r="6" spans="1:50" s="197" customFormat="1" ht="58.5" customHeight="1" x14ac:dyDescent="0.25">
      <c r="A6" s="454"/>
      <c r="B6" s="367"/>
      <c r="C6" s="367"/>
      <c r="D6" s="367"/>
      <c r="E6" s="458"/>
      <c r="F6" s="367"/>
      <c r="G6" s="367"/>
      <c r="H6" s="458"/>
      <c r="I6" s="456"/>
      <c r="J6" s="367"/>
      <c r="K6" s="456"/>
      <c r="L6" s="362"/>
      <c r="M6" s="456"/>
      <c r="N6" s="456"/>
      <c r="O6" s="362"/>
      <c r="P6" s="362"/>
      <c r="Q6" s="367"/>
      <c r="R6" s="451"/>
      <c r="S6" s="367"/>
      <c r="T6" s="456"/>
      <c r="U6" s="3" t="s">
        <v>13</v>
      </c>
      <c r="V6" s="3" t="s">
        <v>17</v>
      </c>
      <c r="W6" s="3" t="s">
        <v>28</v>
      </c>
      <c r="X6" s="3" t="s">
        <v>18</v>
      </c>
      <c r="Y6" s="3" t="s">
        <v>21</v>
      </c>
      <c r="Z6" s="3" t="s">
        <v>24</v>
      </c>
      <c r="AA6" s="452"/>
      <c r="AB6" s="452"/>
      <c r="AC6" s="452"/>
      <c r="AD6" s="452"/>
      <c r="AE6" s="452"/>
      <c r="AF6" s="452"/>
      <c r="AG6" s="451"/>
      <c r="AH6" s="367"/>
      <c r="AI6" s="367"/>
      <c r="AJ6" s="367"/>
      <c r="AK6" s="367"/>
      <c r="AL6" s="367"/>
      <c r="AM6" s="212" t="s">
        <v>614</v>
      </c>
      <c r="AN6" s="212" t="s">
        <v>615</v>
      </c>
      <c r="AO6" s="212" t="s">
        <v>616</v>
      </c>
      <c r="AP6" s="212" t="s">
        <v>617</v>
      </c>
      <c r="AQ6" s="212" t="s">
        <v>618</v>
      </c>
      <c r="AR6" s="212" t="s">
        <v>616</v>
      </c>
      <c r="AS6" s="212" t="s">
        <v>619</v>
      </c>
      <c r="AT6" s="212" t="s">
        <v>620</v>
      </c>
      <c r="AU6" s="212" t="s">
        <v>621</v>
      </c>
      <c r="AV6" s="212" t="s">
        <v>622</v>
      </c>
      <c r="AW6" s="212" t="s">
        <v>623</v>
      </c>
      <c r="AX6" s="364"/>
    </row>
    <row r="7" spans="1:50" s="147" customFormat="1" ht="167.25" customHeight="1" x14ac:dyDescent="0.25">
      <c r="A7" s="411">
        <v>1</v>
      </c>
      <c r="B7" s="374" t="s">
        <v>327</v>
      </c>
      <c r="C7" s="406" t="s">
        <v>376</v>
      </c>
      <c r="D7" s="406" t="s">
        <v>191</v>
      </c>
      <c r="E7" s="393" t="s">
        <v>118</v>
      </c>
      <c r="F7" s="393" t="s">
        <v>433</v>
      </c>
      <c r="G7" s="393" t="s">
        <v>434</v>
      </c>
      <c r="H7" s="395" t="s">
        <v>543</v>
      </c>
      <c r="I7" s="393" t="s">
        <v>115</v>
      </c>
      <c r="J7" s="391">
        <v>4</v>
      </c>
      <c r="K7" s="388" t="str">
        <f>IF(J7&lt;=0,"",IF(J7&lt;=2,"Muy Baja",IF(J7&lt;=24,"Baja",IF(J7&lt;=500,"Media",IF(J7&lt;=5000,"Alta","Muy Alta")))))</f>
        <v>Baja</v>
      </c>
      <c r="L7" s="401">
        <f>IF(K7="","",IF(K7="Muy Baja",0.2,IF(K7="Baja",0.4,IF(K7="Media",0.6,IF(K7="Alta",0.8,IF(K7="Muy Alta",1,))))))</f>
        <v>0.4</v>
      </c>
      <c r="M7" s="404" t="s">
        <v>486</v>
      </c>
      <c r="N7" s="125" t="str">
        <f>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88" t="str">
        <f>IF(OR(N7='Tabla Impacto'!$C$11,N7='Tabla Impacto'!$D$11),"Leve",IF(OR(N7='Tabla Impacto'!$C$12,N7='Tabla Impacto'!$D$12),"Menor",IF(OR(N7='Tabla Impacto'!$C$13,N7='Tabla Impacto'!$D$13),"Moderado",IF(OR(N7='Tabla Impacto'!$C$14,N7='Tabla Impacto'!$D$14),"Mayor",IF(OR(N7='Tabla Impacto'!$C$15,N7='Tabla Impacto'!$D$15),"Catastrófico","")))))</f>
        <v>Moderado</v>
      </c>
      <c r="P7" s="401">
        <f>IF(O7="","",IF(O7="Leve",0.2,IF(O7="Menor",0.4,IF(O7="Moderado",0.6,IF(O7="Mayor",0.8,IF(O7="Catastrófico",1,))))))</f>
        <v>0.6</v>
      </c>
      <c r="Q7" s="398" t="str">
        <f>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26">
        <v>1</v>
      </c>
      <c r="S7" s="95" t="s">
        <v>192</v>
      </c>
      <c r="T7" s="127" t="str">
        <f>IF(OR(U7="Preventivo",U7="Detectivo"),"Probabilidad",IF(U7="Correctivo","Impacto",""))</f>
        <v>Probabilidad</v>
      </c>
      <c r="U7" s="128" t="s">
        <v>14</v>
      </c>
      <c r="V7" s="128" t="s">
        <v>9</v>
      </c>
      <c r="W7" s="129" t="str">
        <f>IF(AND(U7="Preventivo",V7="Automático"),"50%",IF(AND(U7="Preventivo",V7="Manual"),"40%",IF(AND(U7="Detectivo",V7="Automático"),"40%",IF(AND(U7="Detectivo",V7="Manual"),"30%",IF(AND(U7="Correctivo",V7="Automático"),"35%",IF(AND(U7="Correctivo",V7="Manual"),"25%",""))))))</f>
        <v>40%</v>
      </c>
      <c r="X7" s="128" t="s">
        <v>19</v>
      </c>
      <c r="Y7" s="128" t="s">
        <v>22</v>
      </c>
      <c r="Z7" s="128" t="s">
        <v>110</v>
      </c>
      <c r="AA7" s="130">
        <f>IFERROR(IF(T7="Probabilidad",($L$7-(+$L$7*W7)),IF(T7="Impacto",$L$7,"")),"")</f>
        <v>0.24</v>
      </c>
      <c r="AB7" s="131" t="str">
        <f>IFERROR(IF(AA7="","",IF(AA7&lt;=0.2,"Muy Baja",IF(AA7&lt;=0.4,"Baja",IF(AA7&lt;=0.6,"Media",IF(AA7&lt;=0.8,"Alta","Muy Alta"))))),"")</f>
        <v>Baja</v>
      </c>
      <c r="AC7" s="132">
        <f>+AA7</f>
        <v>0.24</v>
      </c>
      <c r="AD7" s="131" t="str">
        <f>IFERROR(IF(AE7="","",IF(AE7&lt;=0.2,"Leve",IF(AE7&lt;=0.4,"Menor",IF(AE7&lt;=0.6,"Moderado",IF(AE7&lt;=0.8,"Mayor","Catastrófico"))))),"")</f>
        <v>Moderado</v>
      </c>
      <c r="AE7" s="132">
        <f>IFERROR(IF(T7="Impacto",($P$7-(+$P$7*W7)),IF(T7="Probabilidad",$P$7,"")),"")</f>
        <v>0.6</v>
      </c>
      <c r="AF7" s="133" t="str">
        <f>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34" t="s">
        <v>122</v>
      </c>
      <c r="AH7" s="122" t="s">
        <v>542</v>
      </c>
      <c r="AI7" s="123" t="s">
        <v>203</v>
      </c>
      <c r="AJ7" s="135" t="s">
        <v>196</v>
      </c>
      <c r="AK7" s="135" t="s">
        <v>196</v>
      </c>
      <c r="AL7" s="95" t="s">
        <v>193</v>
      </c>
      <c r="AM7" s="213" t="s">
        <v>625</v>
      </c>
      <c r="AN7" s="214" t="s">
        <v>626</v>
      </c>
      <c r="AO7" s="215">
        <v>1</v>
      </c>
      <c r="AP7" s="216" t="s">
        <v>627</v>
      </c>
      <c r="AQ7" s="217" t="s">
        <v>628</v>
      </c>
      <c r="AR7" s="215">
        <v>1</v>
      </c>
      <c r="AS7" s="137"/>
      <c r="AT7" s="232" t="s">
        <v>629</v>
      </c>
      <c r="AU7" s="137" t="s">
        <v>630</v>
      </c>
      <c r="AV7" s="137" t="s">
        <v>630</v>
      </c>
      <c r="AW7" s="137" t="s">
        <v>630</v>
      </c>
      <c r="AX7" s="95"/>
    </row>
    <row r="8" spans="1:50" s="147" customFormat="1" ht="167.25" hidden="1" customHeight="1" x14ac:dyDescent="0.25">
      <c r="A8" s="410"/>
      <c r="B8" s="375"/>
      <c r="C8" s="409"/>
      <c r="D8" s="407"/>
      <c r="E8" s="394"/>
      <c r="F8" s="394"/>
      <c r="G8" s="394"/>
      <c r="H8" s="396"/>
      <c r="I8" s="394"/>
      <c r="J8" s="392"/>
      <c r="K8" s="389"/>
      <c r="L8" s="402"/>
      <c r="M8" s="405"/>
      <c r="N8" s="136"/>
      <c r="O8" s="389"/>
      <c r="P8" s="402"/>
      <c r="Q8" s="399"/>
      <c r="R8" s="126">
        <v>2</v>
      </c>
      <c r="S8" s="95"/>
      <c r="T8" s="127" t="str">
        <f t="shared" ref="T8:T9" si="0">IF(OR(U8="Preventivo",U8="Detectivo"),"Probabilidad",IF(U8="Correctivo","Impacto",""))</f>
        <v/>
      </c>
      <c r="U8" s="128"/>
      <c r="V8" s="128"/>
      <c r="W8" s="129" t="str">
        <f t="shared" ref="W8" si="1">IF(AND(U8="Preventivo",V8="Automático"),"50%",IF(AND(U8="Preventivo",V8="Manual"),"40%",IF(AND(U8="Detectivo",V8="Automático"),"40%",IF(AND(U8="Detectivo",V8="Manual"),"30%",IF(AND(U8="Correctivo",V8="Automático"),"35%",IF(AND(U8="Correctivo",V8="Manual"),"25%",""))))))</f>
        <v/>
      </c>
      <c r="X8" s="128"/>
      <c r="Y8" s="128"/>
      <c r="Z8" s="128"/>
      <c r="AA8" s="130" t="str">
        <f>IFERROR(IF(T8="Probabilidad",(AA7-(+AA7*W8)),IF(T8="Impacto",$L$7,"")),"")</f>
        <v/>
      </c>
      <c r="AB8" s="131" t="str">
        <f t="shared" ref="AB8:AB9" si="2">IFERROR(IF(AA8="","",IF(AA8&lt;=0.2,"Muy Baja",IF(AA8&lt;=0.4,"Baja",IF(AA8&lt;=0.6,"Media",IF(AA8&lt;=0.8,"Alta","Muy Alta"))))),"")</f>
        <v/>
      </c>
      <c r="AC8" s="132" t="str">
        <f t="shared" ref="AC8:AC9" si="3">+AA8</f>
        <v/>
      </c>
      <c r="AD8" s="131" t="str">
        <f t="shared" ref="AD8:AD9" si="4">IFERROR(IF(AE8="","",IF(AE8&lt;=0.2,"Leve",IF(AE8&lt;=0.4,"Menor",IF(AE8&lt;=0.6,"Moderado",IF(AE8&lt;=0.8,"Mayor","Catastrófico"))))),"")</f>
        <v/>
      </c>
      <c r="AE8" s="132" t="str">
        <f t="shared" ref="AE8:AE9" si="5">IFERROR(IF(T8="Impacto",($P$7-(+$P$7*W8)),IF(T8="Probabilidad",$P$7,"")),"")</f>
        <v/>
      </c>
      <c r="AF8" s="133"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34"/>
      <c r="AH8" s="95"/>
      <c r="AI8" s="123"/>
      <c r="AJ8" s="135"/>
      <c r="AK8" s="135"/>
      <c r="AL8" s="95"/>
      <c r="AM8" s="95"/>
      <c r="AN8" s="95"/>
      <c r="AO8" s="137"/>
      <c r="AP8" s="95"/>
      <c r="AQ8" s="95"/>
      <c r="AR8" s="137"/>
      <c r="AS8" s="95"/>
      <c r="AT8" s="232" t="s">
        <v>629</v>
      </c>
      <c r="AU8" s="137" t="s">
        <v>630</v>
      </c>
      <c r="AV8" s="137" t="s">
        <v>630</v>
      </c>
      <c r="AW8" s="137" t="s">
        <v>630</v>
      </c>
      <c r="AX8" s="95"/>
    </row>
    <row r="9" spans="1:50" s="147" customFormat="1" ht="167.25" hidden="1" customHeight="1" x14ac:dyDescent="0.25">
      <c r="A9" s="410"/>
      <c r="B9" s="376"/>
      <c r="C9" s="409"/>
      <c r="D9" s="407"/>
      <c r="E9" s="394"/>
      <c r="F9" s="394"/>
      <c r="G9" s="394"/>
      <c r="H9" s="396"/>
      <c r="I9" s="394"/>
      <c r="J9" s="392"/>
      <c r="K9" s="390"/>
      <c r="L9" s="403"/>
      <c r="M9" s="405"/>
      <c r="N9" s="136"/>
      <c r="O9" s="390"/>
      <c r="P9" s="403"/>
      <c r="Q9" s="400"/>
      <c r="R9" s="126">
        <v>3</v>
      </c>
      <c r="S9" s="95"/>
      <c r="T9" s="127" t="str">
        <f t="shared" si="0"/>
        <v/>
      </c>
      <c r="U9" s="128"/>
      <c r="V9" s="128"/>
      <c r="W9" s="129"/>
      <c r="X9" s="128"/>
      <c r="Y9" s="128"/>
      <c r="Z9" s="128"/>
      <c r="AA9" s="130" t="str">
        <f>IFERROR(IF(T9="Probabilidad",(AA8-(+AA8*W9)),IF(T9="Impacto",$L$7,"")),"")</f>
        <v/>
      </c>
      <c r="AB9" s="131" t="str">
        <f t="shared" si="2"/>
        <v/>
      </c>
      <c r="AC9" s="132" t="str">
        <f t="shared" si="3"/>
        <v/>
      </c>
      <c r="AD9" s="131" t="str">
        <f t="shared" si="4"/>
        <v/>
      </c>
      <c r="AE9" s="132" t="str">
        <f t="shared" si="5"/>
        <v/>
      </c>
      <c r="AF9" s="133" t="str">
        <f t="shared" si="6"/>
        <v/>
      </c>
      <c r="AG9" s="134"/>
      <c r="AH9" s="95"/>
      <c r="AI9" s="123"/>
      <c r="AJ9" s="135"/>
      <c r="AK9" s="135"/>
      <c r="AL9" s="95"/>
      <c r="AM9" s="95"/>
      <c r="AN9" s="95"/>
      <c r="AO9" s="137"/>
      <c r="AP9" s="95"/>
      <c r="AQ9" s="95"/>
      <c r="AR9" s="137"/>
      <c r="AS9" s="95"/>
      <c r="AT9" s="232" t="s">
        <v>629</v>
      </c>
      <c r="AU9" s="137" t="s">
        <v>630</v>
      </c>
      <c r="AV9" s="137" t="s">
        <v>630</v>
      </c>
      <c r="AW9" s="137" t="s">
        <v>630</v>
      </c>
      <c r="AX9" s="95"/>
    </row>
    <row r="10" spans="1:50" s="147" customFormat="1" ht="214.5" customHeight="1" x14ac:dyDescent="0.25">
      <c r="A10" s="410">
        <v>2</v>
      </c>
      <c r="B10" s="374" t="s">
        <v>327</v>
      </c>
      <c r="C10" s="406" t="s">
        <v>376</v>
      </c>
      <c r="D10" s="406" t="s">
        <v>191</v>
      </c>
      <c r="E10" s="393" t="s">
        <v>120</v>
      </c>
      <c r="F10" s="397" t="s">
        <v>435</v>
      </c>
      <c r="G10" s="436" t="s">
        <v>436</v>
      </c>
      <c r="H10" s="438" t="s">
        <v>377</v>
      </c>
      <c r="I10" s="393" t="s">
        <v>328</v>
      </c>
      <c r="J10" s="391">
        <v>160</v>
      </c>
      <c r="K10" s="388" t="str">
        <f>IF(J10&lt;=0,"",IF(J10&lt;=2,"Muy Baja",IF(J10&lt;=24,"Baja",IF(J10&lt;=500,"Media",IF(J10&lt;=5000,"Alta","Muy Alta")))))</f>
        <v>Media</v>
      </c>
      <c r="L10" s="401">
        <f>IF(K10="","",IF(K10="Muy Baja",0.2,IF(K10="Baja",0.4,IF(K10="Media",0.6,IF(K10="Alta",0.8,IF(K10="Muy Alta",1,))))))</f>
        <v>0.6</v>
      </c>
      <c r="M10" s="404" t="s">
        <v>486</v>
      </c>
      <c r="N10" s="125" t="str">
        <f>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88" t="str">
        <f>IF(OR(N10='Tabla Impacto'!$C$11,N10='Tabla Impacto'!$D$11),"Leve",IF(OR(N10='Tabla Impacto'!$C$12,N10='Tabla Impacto'!$D$12),"Menor",IF(OR(N10='Tabla Impacto'!$C$13,N10='Tabla Impacto'!$D$13),"Moderado",IF(OR(N10='Tabla Impacto'!$C$14,N10='Tabla Impacto'!$D$14),"Mayor",IF(OR(N10='Tabla Impacto'!$C$15,N10='Tabla Impacto'!$D$15),"Catastrófico","")))))</f>
        <v>Moderado</v>
      </c>
      <c r="P10" s="401">
        <f>IF(O10="","",IF(O10="Leve",0.2,IF(O10="Menor",0.4,IF(O10="Moderado",0.6,IF(O10="Mayor",0.8,IF(O10="Catastrófico",1,))))))</f>
        <v>0.6</v>
      </c>
      <c r="Q10" s="398" t="str">
        <f>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26">
        <v>1</v>
      </c>
      <c r="S10" s="95" t="s">
        <v>197</v>
      </c>
      <c r="T10" s="127" t="str">
        <f t="shared" ref="T10:T13" si="7">IF(OR(U10="Preventivo",U10="Detectivo"),"Probabilidad",IF(U10="Correctivo","Impacto",""))</f>
        <v>Probabilidad</v>
      </c>
      <c r="U10" s="128" t="s">
        <v>14</v>
      </c>
      <c r="V10" s="128" t="s">
        <v>9</v>
      </c>
      <c r="W10" s="129" t="str">
        <f t="shared" ref="W10:W13" si="8">IF(AND(U10="Preventivo",V10="Automático"),"50%",IF(AND(U10="Preventivo",V10="Manual"),"40%",IF(AND(U10="Detectivo",V10="Automático"),"40%",IF(AND(U10="Detectivo",V10="Manual"),"30%",IF(AND(U10="Correctivo",V10="Automático"),"35%",IF(AND(U10="Correctivo",V10="Manual"),"25%",""))))))</f>
        <v>40%</v>
      </c>
      <c r="X10" s="128" t="s">
        <v>19</v>
      </c>
      <c r="Y10" s="128" t="s">
        <v>22</v>
      </c>
      <c r="Z10" s="128" t="s">
        <v>110</v>
      </c>
      <c r="AA10" s="130">
        <f t="shared" ref="AA10:AA13" si="9">IFERROR(IF(T10="Probabilidad",(L10-(+L10*W10)),IF(T10="Impacto",L10,"")),"")</f>
        <v>0.36</v>
      </c>
      <c r="AB10" s="131" t="str">
        <f t="shared" ref="AB10:AB13" si="10">IFERROR(IF(AA10="","",IF(AA10&lt;=0.2,"Muy Baja",IF(AA10&lt;=0.4,"Baja",IF(AA10&lt;=0.6,"Media",IF(AA10&lt;=0.8,"Alta","Muy Alta"))))),"")</f>
        <v>Baja</v>
      </c>
      <c r="AC10" s="132">
        <f t="shared" ref="AC10:AC13" si="11">+AA10</f>
        <v>0.36</v>
      </c>
      <c r="AD10" s="131" t="str">
        <f t="shared" ref="AD10:AD13" si="12">IFERROR(IF(AE10="","",IF(AE10&lt;=0.2,"Leve",IF(AE10&lt;=0.4,"Menor",IF(AE10&lt;=0.6,"Moderado",IF(AE10&lt;=0.8,"Mayor","Catastrófico"))))),"")</f>
        <v>Moderado</v>
      </c>
      <c r="AE10" s="132">
        <f t="shared" ref="AE10:AE13" si="13">IFERROR(IF(T10="Impacto",(P10-(+P10*W10)),IF(T10="Probabilidad",P10,"")),"")</f>
        <v>0.6</v>
      </c>
      <c r="AF10" s="133" t="str">
        <f t="shared" ref="AF10:AF13"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34" t="s">
        <v>122</v>
      </c>
      <c r="AH10" s="95" t="s">
        <v>378</v>
      </c>
      <c r="AI10" s="123" t="s">
        <v>198</v>
      </c>
      <c r="AJ10" s="135" t="s">
        <v>199</v>
      </c>
      <c r="AK10" s="135" t="s">
        <v>199</v>
      </c>
      <c r="AL10" s="95" t="s">
        <v>379</v>
      </c>
      <c r="AM10" s="213" t="s">
        <v>625</v>
      </c>
      <c r="AN10" s="214" t="s">
        <v>631</v>
      </c>
      <c r="AO10" s="218">
        <v>1</v>
      </c>
      <c r="AP10" s="216" t="s">
        <v>632</v>
      </c>
      <c r="AQ10" s="214" t="s">
        <v>633</v>
      </c>
      <c r="AR10" s="218">
        <v>1</v>
      </c>
      <c r="AS10" s="137"/>
      <c r="AT10" s="232" t="s">
        <v>629</v>
      </c>
      <c r="AU10" s="137" t="s">
        <v>630</v>
      </c>
      <c r="AV10" s="137" t="s">
        <v>630</v>
      </c>
      <c r="AW10" s="137" t="s">
        <v>630</v>
      </c>
      <c r="AX10" s="95"/>
    </row>
    <row r="11" spans="1:50" s="147" customFormat="1" ht="151.5" hidden="1" customHeight="1" x14ac:dyDescent="0.25">
      <c r="A11" s="410"/>
      <c r="B11" s="375"/>
      <c r="C11" s="409"/>
      <c r="D11" s="407"/>
      <c r="E11" s="394"/>
      <c r="F11" s="394"/>
      <c r="G11" s="437"/>
      <c r="H11" s="439"/>
      <c r="I11" s="394"/>
      <c r="J11" s="392"/>
      <c r="K11" s="389"/>
      <c r="L11" s="402"/>
      <c r="M11" s="405"/>
      <c r="N11" s="136"/>
      <c r="O11" s="389"/>
      <c r="P11" s="402"/>
      <c r="Q11" s="399"/>
      <c r="R11" s="126">
        <v>2</v>
      </c>
      <c r="S11" s="95"/>
      <c r="T11" s="127" t="str">
        <f t="shared" ref="T11:T12" si="15">IF(OR(U11="Preventivo",U11="Detectivo"),"Probabilidad",IF(U11="Correctivo","Impacto",""))</f>
        <v/>
      </c>
      <c r="U11" s="128"/>
      <c r="V11" s="128"/>
      <c r="W11" s="129"/>
      <c r="X11" s="128"/>
      <c r="Y11" s="128"/>
      <c r="Z11" s="128"/>
      <c r="AA11" s="130" t="str">
        <f>IFERROR(IF(T11="Probabilidad",(AA10-(+AA10*W11)),IF(T11="Impacto",L10,"")),"")</f>
        <v/>
      </c>
      <c r="AB11" s="131" t="str">
        <f t="shared" ref="AB11:AB12" si="16">IFERROR(IF(AA11="","",IF(AA11&lt;=0.2,"Muy Baja",IF(AA11&lt;=0.4,"Baja",IF(AA11&lt;=0.6,"Media",IF(AA11&lt;=0.8,"Alta","Muy Alta"))))),"")</f>
        <v/>
      </c>
      <c r="AC11" s="132" t="str">
        <f t="shared" ref="AC11:AC12" si="17">+AA11</f>
        <v/>
      </c>
      <c r="AD11" s="131" t="str">
        <f t="shared" ref="AD11:AD12" si="18">IFERROR(IF(AE11="","",IF(AE11&lt;=0.2,"Leve",IF(AE11&lt;=0.4,"Menor",IF(AE11&lt;=0.6,"Moderado",IF(AE11&lt;=0.8,"Mayor","Catastrófico"))))),"")</f>
        <v/>
      </c>
      <c r="AE11" s="132" t="str">
        <f>IFERROR(IF(T11="Impacto",(P10-(+P10*W11)),IF(T11="Probabilidad",P10,"")),"")</f>
        <v/>
      </c>
      <c r="AF11" s="133"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34"/>
      <c r="AH11" s="95"/>
      <c r="AI11" s="123"/>
      <c r="AJ11" s="135"/>
      <c r="AK11" s="135"/>
      <c r="AL11" s="95"/>
      <c r="AM11" s="95"/>
      <c r="AN11" s="95"/>
      <c r="AO11" s="218">
        <v>1</v>
      </c>
      <c r="AP11" s="95"/>
      <c r="AQ11" s="95"/>
      <c r="AR11" s="137"/>
      <c r="AS11" s="95"/>
      <c r="AT11" s="232" t="s">
        <v>629</v>
      </c>
      <c r="AU11" s="137" t="s">
        <v>630</v>
      </c>
      <c r="AV11" s="137" t="s">
        <v>630</v>
      </c>
      <c r="AW11" s="137" t="s">
        <v>630</v>
      </c>
      <c r="AX11" s="95"/>
    </row>
    <row r="12" spans="1:50" s="147" customFormat="1" ht="151.5" hidden="1" customHeight="1" x14ac:dyDescent="0.25">
      <c r="A12" s="410"/>
      <c r="B12" s="376"/>
      <c r="C12" s="409"/>
      <c r="D12" s="407"/>
      <c r="E12" s="394"/>
      <c r="F12" s="394"/>
      <c r="G12" s="437"/>
      <c r="H12" s="439"/>
      <c r="I12" s="394"/>
      <c r="J12" s="392"/>
      <c r="K12" s="390"/>
      <c r="L12" s="403"/>
      <c r="M12" s="405"/>
      <c r="N12" s="136"/>
      <c r="O12" s="390"/>
      <c r="P12" s="403"/>
      <c r="Q12" s="400"/>
      <c r="R12" s="126">
        <v>3</v>
      </c>
      <c r="S12" s="95"/>
      <c r="T12" s="127" t="str">
        <f t="shared" si="15"/>
        <v/>
      </c>
      <c r="U12" s="128"/>
      <c r="V12" s="128"/>
      <c r="W12" s="129"/>
      <c r="X12" s="128"/>
      <c r="Y12" s="128"/>
      <c r="Z12" s="128"/>
      <c r="AA12" s="130" t="str">
        <f>IFERROR(IF(T12="Probabilidad",(AA11-(+AA11*W12)),IF(T12="Impacto",L10,"")),"")</f>
        <v/>
      </c>
      <c r="AB12" s="131" t="str">
        <f t="shared" si="16"/>
        <v/>
      </c>
      <c r="AC12" s="132" t="str">
        <f t="shared" si="17"/>
        <v/>
      </c>
      <c r="AD12" s="131" t="str">
        <f t="shared" si="18"/>
        <v/>
      </c>
      <c r="AE12" s="132" t="str">
        <f>IFERROR(IF(T12="Impacto",(P10-(+P10*W12)),IF(T12="Probabilidad",P10,"")),"")</f>
        <v/>
      </c>
      <c r="AF12" s="133" t="str">
        <f t="shared" si="19"/>
        <v/>
      </c>
      <c r="AG12" s="134"/>
      <c r="AH12" s="95"/>
      <c r="AI12" s="123"/>
      <c r="AJ12" s="135"/>
      <c r="AK12" s="135"/>
      <c r="AL12" s="95"/>
      <c r="AM12" s="95"/>
      <c r="AN12" s="95"/>
      <c r="AO12" s="218">
        <v>1</v>
      </c>
      <c r="AP12" s="95"/>
      <c r="AQ12" s="95"/>
      <c r="AR12" s="137"/>
      <c r="AS12" s="95"/>
      <c r="AT12" s="232" t="s">
        <v>629</v>
      </c>
      <c r="AU12" s="137" t="s">
        <v>630</v>
      </c>
      <c r="AV12" s="137" t="s">
        <v>630</v>
      </c>
      <c r="AW12" s="137" t="s">
        <v>630</v>
      </c>
      <c r="AX12" s="95"/>
    </row>
    <row r="13" spans="1:50" s="198" customFormat="1" ht="285.75" customHeight="1" x14ac:dyDescent="0.25">
      <c r="A13" s="410">
        <v>3</v>
      </c>
      <c r="B13" s="374" t="s">
        <v>200</v>
      </c>
      <c r="C13" s="406" t="s">
        <v>354</v>
      </c>
      <c r="D13" s="406" t="s">
        <v>374</v>
      </c>
      <c r="E13" s="393" t="s">
        <v>118</v>
      </c>
      <c r="F13" s="393" t="s">
        <v>437</v>
      </c>
      <c r="G13" s="393" t="s">
        <v>201</v>
      </c>
      <c r="H13" s="395" t="s">
        <v>380</v>
      </c>
      <c r="I13" s="393" t="s">
        <v>328</v>
      </c>
      <c r="J13" s="391">
        <v>5000</v>
      </c>
      <c r="K13" s="388" t="str">
        <f>IF(J13&lt;=0,"",IF(J13&lt;=2,"Muy Baja",IF(J13&lt;=24,"Baja",IF(J13&lt;=500,"Media",IF(J13&lt;=5000,"Alta","Muy Alta")))))</f>
        <v>Alta</v>
      </c>
      <c r="L13" s="401">
        <f>IF(K13="","",IF(K13="Muy Baja",0.2,IF(K13="Baja",0.4,IF(K13="Media",0.6,IF(K13="Alta",0.8,IF(K13="Muy Alta",1,))))))</f>
        <v>0.8</v>
      </c>
      <c r="M13" s="404" t="s">
        <v>486</v>
      </c>
      <c r="N13" s="125" t="str">
        <f>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88" t="str">
        <f>IF(OR(N13='Tabla Impacto'!$C$11,N13='Tabla Impacto'!$D$11),"Leve",IF(OR(N13='Tabla Impacto'!$C$12,N13='Tabla Impacto'!$D$12),"Menor",IF(OR(N13='Tabla Impacto'!$C$13,N13='Tabla Impacto'!$D$13),"Moderado",IF(OR(N13='Tabla Impacto'!$C$14,N13='Tabla Impacto'!$D$14),"Mayor",IF(OR(N13='Tabla Impacto'!$C$15,N13='Tabla Impacto'!$D$15),"Catastrófico","")))))</f>
        <v>Moderado</v>
      </c>
      <c r="P13" s="401">
        <f>IF(O13="","",IF(O13="Leve",0.2,IF(O13="Menor",0.4,IF(O13="Moderado",0.6,IF(O13="Mayor",0.8,IF(O13="Catastrófico",1,))))))</f>
        <v>0.6</v>
      </c>
      <c r="Q13" s="398" t="str">
        <f>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26">
        <v>1</v>
      </c>
      <c r="S13" s="95" t="s">
        <v>202</v>
      </c>
      <c r="T13" s="127" t="str">
        <f t="shared" si="7"/>
        <v>Probabilidad</v>
      </c>
      <c r="U13" s="128" t="s">
        <v>14</v>
      </c>
      <c r="V13" s="128" t="s">
        <v>9</v>
      </c>
      <c r="W13" s="129" t="str">
        <f t="shared" si="8"/>
        <v>40%</v>
      </c>
      <c r="X13" s="128" t="s">
        <v>19</v>
      </c>
      <c r="Y13" s="128" t="s">
        <v>22</v>
      </c>
      <c r="Z13" s="128" t="s">
        <v>110</v>
      </c>
      <c r="AA13" s="130">
        <f t="shared" si="9"/>
        <v>0.48</v>
      </c>
      <c r="AB13" s="131" t="str">
        <f t="shared" si="10"/>
        <v>Media</v>
      </c>
      <c r="AC13" s="132">
        <f t="shared" si="11"/>
        <v>0.48</v>
      </c>
      <c r="AD13" s="131" t="str">
        <f t="shared" si="12"/>
        <v>Moderado</v>
      </c>
      <c r="AE13" s="132">
        <f t="shared" si="13"/>
        <v>0.6</v>
      </c>
      <c r="AF13" s="133" t="str">
        <f t="shared" si="14"/>
        <v>Moderado</v>
      </c>
      <c r="AG13" s="134" t="s">
        <v>122</v>
      </c>
      <c r="AH13" s="122" t="s">
        <v>381</v>
      </c>
      <c r="AI13" s="137" t="s">
        <v>203</v>
      </c>
      <c r="AJ13" s="135" t="s">
        <v>199</v>
      </c>
      <c r="AK13" s="135" t="s">
        <v>199</v>
      </c>
      <c r="AL13" s="95" t="s">
        <v>382</v>
      </c>
      <c r="AM13" s="95" t="s">
        <v>676</v>
      </c>
      <c r="AN13" s="229" t="s">
        <v>677</v>
      </c>
      <c r="AO13" s="218">
        <v>1</v>
      </c>
      <c r="AP13" s="216" t="s">
        <v>678</v>
      </c>
      <c r="AQ13" s="216" t="s">
        <v>679</v>
      </c>
      <c r="AR13" s="218">
        <v>1</v>
      </c>
      <c r="AS13" s="95"/>
      <c r="AT13" s="232" t="s">
        <v>629</v>
      </c>
      <c r="AU13" s="137" t="s">
        <v>630</v>
      </c>
      <c r="AV13" s="137" t="s">
        <v>630</v>
      </c>
      <c r="AW13" s="137" t="s">
        <v>630</v>
      </c>
      <c r="AX13" s="95"/>
    </row>
    <row r="14" spans="1:50" s="198" customFormat="1" ht="151.5" hidden="1" customHeight="1" x14ac:dyDescent="0.25">
      <c r="A14" s="410"/>
      <c r="B14" s="375"/>
      <c r="C14" s="409"/>
      <c r="D14" s="409"/>
      <c r="E14" s="394"/>
      <c r="F14" s="394"/>
      <c r="G14" s="394"/>
      <c r="H14" s="396"/>
      <c r="I14" s="394"/>
      <c r="J14" s="392"/>
      <c r="K14" s="389"/>
      <c r="L14" s="402"/>
      <c r="M14" s="405"/>
      <c r="N14" s="136"/>
      <c r="O14" s="389"/>
      <c r="P14" s="402"/>
      <c r="Q14" s="399"/>
      <c r="R14" s="126">
        <v>2</v>
      </c>
      <c r="S14" s="138"/>
      <c r="T14" s="127" t="str">
        <f t="shared" ref="T14:T15" si="20">IF(OR(U14="Preventivo",U14="Detectivo"),"Probabilidad",IF(U14="Correctivo","Impacto",""))</f>
        <v/>
      </c>
      <c r="U14" s="128"/>
      <c r="V14" s="128"/>
      <c r="W14" s="129"/>
      <c r="X14" s="128"/>
      <c r="Y14" s="128"/>
      <c r="Z14" s="128"/>
      <c r="AA14" s="130" t="str">
        <f>IFERROR(IF(T14="Probabilidad",(AA13-(+AA13*W14)),IF(T14="Impacto",L13,"")),"")</f>
        <v/>
      </c>
      <c r="AB14" s="131" t="str">
        <f t="shared" ref="AB14:AB15" si="21">IFERROR(IF(AA14="","",IF(AA14&lt;=0.2,"Muy Baja",IF(AA14&lt;=0.4,"Baja",IF(AA14&lt;=0.6,"Media",IF(AA14&lt;=0.8,"Alta","Muy Alta"))))),"")</f>
        <v/>
      </c>
      <c r="AC14" s="132" t="str">
        <f t="shared" ref="AC14:AC15" si="22">+AA14</f>
        <v/>
      </c>
      <c r="AD14" s="131" t="str">
        <f t="shared" ref="AD14:AD15" si="23">IFERROR(IF(AE14="","",IF(AE14&lt;=0.2,"Leve",IF(AE14&lt;=0.4,"Menor",IF(AE14&lt;=0.6,"Moderado",IF(AE14&lt;=0.8,"Mayor","Catastrófico"))))),"")</f>
        <v/>
      </c>
      <c r="AE14" s="132" t="str">
        <f>IFERROR(IF(T14="Impacto",(P13-(+P13*W14)),IF(T14="Probabilidad",P13,"")),"")</f>
        <v/>
      </c>
      <c r="AF14" s="133"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34"/>
      <c r="AH14" s="95"/>
      <c r="AI14" s="123"/>
      <c r="AJ14" s="135"/>
      <c r="AK14" s="135"/>
      <c r="AL14" s="95"/>
      <c r="AM14" s="95"/>
      <c r="AN14" s="95"/>
      <c r="AO14" s="137"/>
      <c r="AP14" s="95"/>
      <c r="AQ14" s="95"/>
      <c r="AR14" s="137"/>
      <c r="AS14" s="95"/>
      <c r="AT14" s="232" t="s">
        <v>629</v>
      </c>
      <c r="AU14" s="137" t="s">
        <v>630</v>
      </c>
      <c r="AV14" s="137" t="s">
        <v>630</v>
      </c>
      <c r="AW14" s="137" t="s">
        <v>630</v>
      </c>
      <c r="AX14" s="95"/>
    </row>
    <row r="15" spans="1:50" s="198" customFormat="1" ht="151.5" hidden="1" customHeight="1" x14ac:dyDescent="0.25">
      <c r="A15" s="410"/>
      <c r="B15" s="376"/>
      <c r="C15" s="409"/>
      <c r="D15" s="409"/>
      <c r="E15" s="394"/>
      <c r="F15" s="441"/>
      <c r="G15" s="441"/>
      <c r="H15" s="442"/>
      <c r="I15" s="394"/>
      <c r="J15" s="392"/>
      <c r="K15" s="390"/>
      <c r="L15" s="403"/>
      <c r="M15" s="405"/>
      <c r="N15" s="136"/>
      <c r="O15" s="390"/>
      <c r="P15" s="403"/>
      <c r="Q15" s="400"/>
      <c r="R15" s="126">
        <v>3</v>
      </c>
      <c r="S15" s="138"/>
      <c r="T15" s="127" t="str">
        <f t="shared" si="20"/>
        <v/>
      </c>
      <c r="U15" s="128"/>
      <c r="V15" s="128"/>
      <c r="W15" s="129"/>
      <c r="X15" s="128"/>
      <c r="Y15" s="128"/>
      <c r="Z15" s="128"/>
      <c r="AA15" s="130" t="str">
        <f>IFERROR(IF(T15="Probabilidad",(AA14-(+AA14*W15)),IF(T15="Impacto",L13,"")),"")</f>
        <v/>
      </c>
      <c r="AB15" s="131" t="str">
        <f t="shared" si="21"/>
        <v/>
      </c>
      <c r="AC15" s="132" t="str">
        <f t="shared" si="22"/>
        <v/>
      </c>
      <c r="AD15" s="131" t="str">
        <f t="shared" si="23"/>
        <v/>
      </c>
      <c r="AE15" s="132" t="str">
        <f>IFERROR(IF(T15="Impacto",(P13-(+P13*W15)),IF(T15="Probabilidad",P13,"")),"")</f>
        <v/>
      </c>
      <c r="AF15" s="133" t="str">
        <f t="shared" si="24"/>
        <v/>
      </c>
      <c r="AG15" s="134"/>
      <c r="AH15" s="95"/>
      <c r="AI15" s="123"/>
      <c r="AJ15" s="135"/>
      <c r="AK15" s="135"/>
      <c r="AL15" s="95"/>
      <c r="AM15" s="95"/>
      <c r="AN15" s="95"/>
      <c r="AO15" s="137"/>
      <c r="AP15" s="95"/>
      <c r="AQ15" s="95"/>
      <c r="AR15" s="137"/>
      <c r="AS15" s="95"/>
      <c r="AT15" s="232" t="s">
        <v>629</v>
      </c>
      <c r="AU15" s="137" t="s">
        <v>630</v>
      </c>
      <c r="AV15" s="137" t="s">
        <v>630</v>
      </c>
      <c r="AW15" s="137" t="s">
        <v>630</v>
      </c>
      <c r="AX15" s="95"/>
    </row>
    <row r="16" spans="1:50" s="209" customFormat="1" ht="162" customHeight="1" x14ac:dyDescent="0.25">
      <c r="A16" s="440">
        <v>4</v>
      </c>
      <c r="B16" s="417" t="s">
        <v>518</v>
      </c>
      <c r="C16" s="420" t="s">
        <v>519</v>
      </c>
      <c r="D16" s="420" t="s">
        <v>520</v>
      </c>
      <c r="E16" s="395" t="s">
        <v>118</v>
      </c>
      <c r="F16" s="422" t="s">
        <v>438</v>
      </c>
      <c r="G16" s="422" t="s">
        <v>554</v>
      </c>
      <c r="H16" s="395" t="s">
        <v>555</v>
      </c>
      <c r="I16" s="395" t="s">
        <v>328</v>
      </c>
      <c r="J16" s="423">
        <v>52</v>
      </c>
      <c r="K16" s="425" t="str">
        <f>IF(J16&lt;=0,"",IF(J16&lt;=2,"Muy Baja",IF(J16&lt;=24,"Baja",IF(J16&lt;=500,"Media",IF(J16&lt;=5000,"Alta","Muy Alta")))))</f>
        <v>Media</v>
      </c>
      <c r="L16" s="428">
        <f>IF(K16="","",IF(K16="Muy Baja",0.2,IF(K16="Baja",0.4,IF(K16="Media",0.6,IF(K16="Alta",0.8,IF(K16="Muy Alta",1,))))))</f>
        <v>0.6</v>
      </c>
      <c r="M16" s="431" t="s">
        <v>486</v>
      </c>
      <c r="N16" s="187" t="str">
        <f>IF(NOT(ISERROR(MATCH(M16,'Tabla Impacto'!$B$221:$B$223,0))),'Tabla Impacto'!$F$223&amp;"Por favor no seleccionar los criterios de impacto(Afectación Económica o presupuestal y Pérdida Reputacional)",M16)</f>
        <v xml:space="preserve"> El riesgo afecta la imagen de la entidad con algunos usuarios de relevancia frente al logro de los objetivos</v>
      </c>
      <c r="O16" s="425" t="str">
        <f>IF(OR(N16='Tabla Impacto'!$C$11,N16='Tabla Impacto'!$D$11),"Leve",IF(OR(N16='Tabla Impacto'!$C$12,N16='Tabla Impacto'!$D$12),"Menor",IF(OR(N16='Tabla Impacto'!$C$13,N16='Tabla Impacto'!$D$13),"Moderado",IF(OR(N16='Tabla Impacto'!$C$14,N16='Tabla Impacto'!$D$14),"Mayor",IF(OR(N16='Tabla Impacto'!$C$15,N16='Tabla Impacto'!$D$15),"Catastrófico","")))))</f>
        <v>Moderado</v>
      </c>
      <c r="P16" s="428">
        <f>IF(O16="","",IF(O16="Leve",0.2,IF(O16="Menor",0.4,IF(O16="Moderado",0.6,IF(O16="Mayor",0.8,IF(O16="Catastrófico",1,))))))</f>
        <v>0.6</v>
      </c>
      <c r="Q16" s="433" t="str">
        <f>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89">
        <v>1</v>
      </c>
      <c r="S16" s="122" t="s">
        <v>556</v>
      </c>
      <c r="T16" s="190" t="str">
        <f t="shared" ref="T16:T106" si="25">IF(OR(U16="Preventivo",U16="Detectivo"),"Probabilidad",IF(U16="Correctivo","Impacto",""))</f>
        <v>Probabilidad</v>
      </c>
      <c r="U16" s="191" t="s">
        <v>15</v>
      </c>
      <c r="V16" s="191" t="s">
        <v>9</v>
      </c>
      <c r="W16" s="192" t="str">
        <f t="shared" ref="W16:W106" si="26">IF(AND(U16="Preventivo",V16="Automático"),"50%",IF(AND(U16="Preventivo",V16="Manual"),"40%",IF(AND(U16="Detectivo",V16="Automático"),"40%",IF(AND(U16="Detectivo",V16="Manual"),"30%",IF(AND(U16="Correctivo",V16="Automático"),"35%",IF(AND(U16="Correctivo",V16="Manual"),"25%",""))))))</f>
        <v>30%</v>
      </c>
      <c r="X16" s="191" t="s">
        <v>19</v>
      </c>
      <c r="Y16" s="191" t="s">
        <v>22</v>
      </c>
      <c r="Z16" s="191" t="s">
        <v>110</v>
      </c>
      <c r="AA16" s="144">
        <f t="shared" ref="AA16:AA106" si="27">IFERROR(IF(T16="Probabilidad",(L16-(+L16*W16)),IF(T16="Impacto",L16,"")),"")</f>
        <v>0.42</v>
      </c>
      <c r="AB16" s="193" t="str">
        <f t="shared" ref="AB16:AB106" si="28">IFERROR(IF(AA16="","",IF(AA16&lt;=0.2,"Muy Baja",IF(AA16&lt;=0.4,"Baja",IF(AA16&lt;=0.6,"Media",IF(AA16&lt;=0.8,"Alta","Muy Alta"))))),"")</f>
        <v>Media</v>
      </c>
      <c r="AC16" s="194">
        <f t="shared" ref="AC16:AC106" si="29">+AA16</f>
        <v>0.42</v>
      </c>
      <c r="AD16" s="193" t="str">
        <f t="shared" ref="AD16:AD106" si="30">IFERROR(IF(AE16="","",IF(AE16&lt;=0.2,"Leve",IF(AE16&lt;=0.4,"Menor",IF(AE16&lt;=0.6,"Moderado",IF(AE16&lt;=0.8,"Mayor","Catastrófico"))))),"")</f>
        <v>Moderado</v>
      </c>
      <c r="AE16" s="194">
        <f t="shared" ref="AE16:AE106" si="31">IFERROR(IF(T16="Impacto",(P16-(+P16*W16)),IF(T16="Probabilidad",P16,"")),"")</f>
        <v>0.6</v>
      </c>
      <c r="AF16" s="195" t="str">
        <f t="shared" ref="AF16:AF106" si="32">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Moderado</v>
      </c>
      <c r="AG16" s="196" t="s">
        <v>122</v>
      </c>
      <c r="AH16" s="122" t="s">
        <v>553</v>
      </c>
      <c r="AI16" s="139" t="s">
        <v>260</v>
      </c>
      <c r="AJ16" s="124" t="s">
        <v>199</v>
      </c>
      <c r="AK16" s="124" t="s">
        <v>199</v>
      </c>
      <c r="AL16" s="122" t="s">
        <v>557</v>
      </c>
      <c r="AM16" s="219" t="s">
        <v>634</v>
      </c>
      <c r="AN16" s="220" t="s">
        <v>635</v>
      </c>
      <c r="AO16" s="218">
        <v>1</v>
      </c>
      <c r="AP16" s="219" t="s">
        <v>636</v>
      </c>
      <c r="AQ16" s="219" t="s">
        <v>857</v>
      </c>
      <c r="AR16" s="218">
        <v>1</v>
      </c>
      <c r="AS16" s="137"/>
      <c r="AT16" s="232" t="s">
        <v>629</v>
      </c>
      <c r="AU16" s="137" t="s">
        <v>630</v>
      </c>
      <c r="AV16" s="137" t="s">
        <v>630</v>
      </c>
      <c r="AW16" s="137" t="s">
        <v>630</v>
      </c>
      <c r="AX16" s="95"/>
    </row>
    <row r="17" spans="1:50" s="209" customFormat="1" ht="151.5" hidden="1" customHeight="1" x14ac:dyDescent="0.25">
      <c r="A17" s="440"/>
      <c r="B17" s="418"/>
      <c r="C17" s="421"/>
      <c r="D17" s="421"/>
      <c r="E17" s="396"/>
      <c r="F17" s="396"/>
      <c r="G17" s="396"/>
      <c r="H17" s="396"/>
      <c r="I17" s="396"/>
      <c r="J17" s="424"/>
      <c r="K17" s="426"/>
      <c r="L17" s="429"/>
      <c r="M17" s="432"/>
      <c r="N17" s="188"/>
      <c r="O17" s="426"/>
      <c r="P17" s="429"/>
      <c r="Q17" s="434"/>
      <c r="R17" s="189">
        <v>2</v>
      </c>
      <c r="S17" s="122"/>
      <c r="T17" s="190" t="str">
        <f t="shared" ref="T17:T18" si="33">IF(OR(U17="Preventivo",U17="Detectivo"),"Probabilidad",IF(U17="Correctivo","Impacto",""))</f>
        <v/>
      </c>
      <c r="U17" s="191"/>
      <c r="V17" s="191"/>
      <c r="W17" s="192"/>
      <c r="X17" s="191"/>
      <c r="Y17" s="191"/>
      <c r="Z17" s="191"/>
      <c r="AA17" s="144" t="str">
        <f>IFERROR(IF(T17="Probabilidad",(AA16-(+AA16*W17)),IF(T17="Impacto",L17,"")),"")</f>
        <v/>
      </c>
      <c r="AB17" s="193" t="str">
        <f t="shared" ref="AB17:AB18" si="34">IFERROR(IF(AA17="","",IF(AA17&lt;=0.2,"Muy Baja",IF(AA17&lt;=0.4,"Baja",IF(AA17&lt;=0.6,"Media",IF(AA17&lt;=0.8,"Alta","Muy Alta"))))),"")</f>
        <v/>
      </c>
      <c r="AC17" s="194" t="str">
        <f t="shared" ref="AC17:AC18" si="35">+AA17</f>
        <v/>
      </c>
      <c r="AD17" s="193" t="str">
        <f t="shared" ref="AD17:AD18" si="36">IFERROR(IF(AE17="","",IF(AE17&lt;=0.2,"Leve",IF(AE17&lt;=0.4,"Menor",IF(AE17&lt;=0.6,"Moderado",IF(AE17&lt;=0.8,"Mayor","Catastrófico"))))),"")</f>
        <v/>
      </c>
      <c r="AE17" s="194" t="str">
        <f t="shared" ref="AE17:AE18" si="37">IFERROR(IF(T17="Impacto",(P17-(+P17*W17)),IF(T17="Probabilidad",P17,"")),"")</f>
        <v/>
      </c>
      <c r="AF17" s="195" t="str">
        <f t="shared" ref="AF17:AF18" si="38">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
      </c>
      <c r="AG17" s="196"/>
      <c r="AH17" s="122"/>
      <c r="AI17" s="117"/>
      <c r="AJ17" s="124"/>
      <c r="AK17" s="124"/>
      <c r="AL17" s="122"/>
      <c r="AM17" s="95"/>
      <c r="AN17" s="95"/>
      <c r="AO17" s="137"/>
      <c r="AP17" s="95"/>
      <c r="AQ17" s="95"/>
      <c r="AR17" s="218">
        <v>1</v>
      </c>
      <c r="AS17" s="95"/>
      <c r="AT17" s="232" t="s">
        <v>629</v>
      </c>
      <c r="AU17" s="137" t="s">
        <v>630</v>
      </c>
      <c r="AV17" s="137" t="s">
        <v>630</v>
      </c>
      <c r="AW17" s="137" t="s">
        <v>630</v>
      </c>
      <c r="AX17" s="95"/>
    </row>
    <row r="18" spans="1:50" s="209" customFormat="1" ht="151.5" hidden="1" customHeight="1" x14ac:dyDescent="0.25">
      <c r="A18" s="440"/>
      <c r="B18" s="419"/>
      <c r="C18" s="421"/>
      <c r="D18" s="421"/>
      <c r="E18" s="396"/>
      <c r="F18" s="396"/>
      <c r="G18" s="396"/>
      <c r="H18" s="396"/>
      <c r="I18" s="396"/>
      <c r="J18" s="424"/>
      <c r="K18" s="427"/>
      <c r="L18" s="430"/>
      <c r="M18" s="432"/>
      <c r="N18" s="188"/>
      <c r="O18" s="427"/>
      <c r="P18" s="430"/>
      <c r="Q18" s="435"/>
      <c r="R18" s="189">
        <v>3</v>
      </c>
      <c r="S18" s="122"/>
      <c r="T18" s="190" t="str">
        <f t="shared" si="33"/>
        <v/>
      </c>
      <c r="U18" s="191"/>
      <c r="V18" s="191"/>
      <c r="W18" s="192"/>
      <c r="X18" s="191"/>
      <c r="Y18" s="191"/>
      <c r="Z18" s="191"/>
      <c r="AA18" s="144" t="str">
        <f>IFERROR(IF(T18="Probabilidad",(AA17-(+AA17*W18)),IF(T18="Impacto",L18,"")),"")</f>
        <v/>
      </c>
      <c r="AB18" s="193" t="str">
        <f t="shared" si="34"/>
        <v/>
      </c>
      <c r="AC18" s="194" t="str">
        <f t="shared" si="35"/>
        <v/>
      </c>
      <c r="AD18" s="193" t="str">
        <f t="shared" si="36"/>
        <v/>
      </c>
      <c r="AE18" s="194" t="str">
        <f t="shared" si="37"/>
        <v/>
      </c>
      <c r="AF18" s="195" t="str">
        <f t="shared" si="38"/>
        <v/>
      </c>
      <c r="AG18" s="196"/>
      <c r="AH18" s="122"/>
      <c r="AI18" s="117"/>
      <c r="AJ18" s="124"/>
      <c r="AK18" s="124"/>
      <c r="AL18" s="122"/>
      <c r="AM18" s="95"/>
      <c r="AN18" s="95"/>
      <c r="AO18" s="137"/>
      <c r="AP18" s="95"/>
      <c r="AQ18" s="95"/>
      <c r="AR18" s="218">
        <v>1</v>
      </c>
      <c r="AS18" s="95"/>
      <c r="AT18" s="232" t="s">
        <v>629</v>
      </c>
      <c r="AU18" s="137" t="s">
        <v>630</v>
      </c>
      <c r="AV18" s="137" t="s">
        <v>630</v>
      </c>
      <c r="AW18" s="137" t="s">
        <v>630</v>
      </c>
      <c r="AX18" s="95"/>
    </row>
    <row r="19" spans="1:50" s="209" customFormat="1" ht="151.5" customHeight="1" x14ac:dyDescent="0.25">
      <c r="A19" s="410">
        <v>5</v>
      </c>
      <c r="B19" s="374" t="s">
        <v>206</v>
      </c>
      <c r="C19" s="406" t="s">
        <v>207</v>
      </c>
      <c r="D19" s="406" t="s">
        <v>375</v>
      </c>
      <c r="E19" s="393" t="s">
        <v>118</v>
      </c>
      <c r="F19" s="393" t="s">
        <v>208</v>
      </c>
      <c r="G19" s="393" t="s">
        <v>209</v>
      </c>
      <c r="H19" s="395" t="s">
        <v>548</v>
      </c>
      <c r="I19" s="393" t="s">
        <v>115</v>
      </c>
      <c r="J19" s="391">
        <v>1</v>
      </c>
      <c r="K19" s="388" t="str">
        <f>IF(J19&lt;=0,"",IF(J19&lt;=2,"Muy Baja",IF(J19&lt;=24,"Baja",IF(J19&lt;=500,"Media",IF(J19&lt;=5000,"Alta","Muy Alta")))))</f>
        <v>Muy Baja</v>
      </c>
      <c r="L19" s="401">
        <f>IF(K19="","",IF(K19="Muy Baja",0.2,IF(K19="Baja",0.4,IF(K19="Media",0.6,IF(K19="Alta",0.8,IF(K19="Muy Alta",1,))))))</f>
        <v>0.2</v>
      </c>
      <c r="M19" s="404" t="s">
        <v>486</v>
      </c>
      <c r="N19" s="187" t="str">
        <f>IF(NOT(ISERROR(MATCH(M19,'Tabla Impacto'!$B$221:$B$223,0))),'Tabla Impacto'!$F$223&amp;"Por favor no seleccionar los criterios de impacto(Afectación Económica o presupuestal y Pérdida Reputacional)",M19)</f>
        <v xml:space="preserve"> El riesgo afecta la imagen de la entidad con algunos usuarios de relevancia frente al logro de los objetivos</v>
      </c>
      <c r="O19" s="388" t="str">
        <f>IF(OR(N19='Tabla Impacto'!$C$11,N19='Tabla Impacto'!$D$11),"Leve",IF(OR(N19='Tabla Impacto'!$C$12,N19='Tabla Impacto'!$D$12),"Menor",IF(OR(N19='Tabla Impacto'!$C$13,N19='Tabla Impacto'!$D$13),"Moderado",IF(OR(N19='Tabla Impacto'!$C$14,N19='Tabla Impacto'!$D$14),"Mayor",IF(OR(N19='Tabla Impacto'!$C$15,N19='Tabla Impacto'!$D$15),"Catastrófico","")))))</f>
        <v>Moderado</v>
      </c>
      <c r="P19" s="401">
        <f>IF(O19="","",IF(O19="Leve",0.2,IF(O19="Menor",0.4,IF(O19="Moderado",0.6,IF(O19="Mayor",0.8,IF(O19="Catastrófico",1,))))))</f>
        <v>0.6</v>
      </c>
      <c r="Q19" s="398" t="str">
        <f>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89">
        <v>1</v>
      </c>
      <c r="S19" s="122" t="s">
        <v>210</v>
      </c>
      <c r="T19" s="190" t="str">
        <f t="shared" si="25"/>
        <v>Probabilidad</v>
      </c>
      <c r="U19" s="191" t="s">
        <v>14</v>
      </c>
      <c r="V19" s="191" t="s">
        <v>9</v>
      </c>
      <c r="W19" s="192" t="str">
        <f t="shared" si="26"/>
        <v>40%</v>
      </c>
      <c r="X19" s="191" t="s">
        <v>19</v>
      </c>
      <c r="Y19" s="191" t="s">
        <v>22</v>
      </c>
      <c r="Z19" s="191" t="s">
        <v>110</v>
      </c>
      <c r="AA19" s="144">
        <f t="shared" si="27"/>
        <v>0.12</v>
      </c>
      <c r="AB19" s="193" t="str">
        <f t="shared" si="28"/>
        <v>Muy Baja</v>
      </c>
      <c r="AC19" s="194">
        <f t="shared" si="29"/>
        <v>0.12</v>
      </c>
      <c r="AD19" s="193" t="str">
        <f t="shared" si="30"/>
        <v>Moderado</v>
      </c>
      <c r="AE19" s="194">
        <f t="shared" si="31"/>
        <v>0.6</v>
      </c>
      <c r="AF19" s="195" t="str">
        <f t="shared" si="32"/>
        <v>Moderado</v>
      </c>
      <c r="AG19" s="196" t="s">
        <v>122</v>
      </c>
      <c r="AH19" s="122" t="s">
        <v>211</v>
      </c>
      <c r="AI19" s="117" t="s">
        <v>212</v>
      </c>
      <c r="AJ19" s="124">
        <v>44562</v>
      </c>
      <c r="AK19" s="124" t="s">
        <v>373</v>
      </c>
      <c r="AL19" s="122" t="s">
        <v>213</v>
      </c>
      <c r="AM19" s="95" t="s">
        <v>648</v>
      </c>
      <c r="AN19" s="137" t="s">
        <v>630</v>
      </c>
      <c r="AO19" s="137" t="s">
        <v>630</v>
      </c>
      <c r="AP19" s="95" t="s">
        <v>649</v>
      </c>
      <c r="AQ19" s="137" t="s">
        <v>630</v>
      </c>
      <c r="AR19" s="218">
        <v>1</v>
      </c>
      <c r="AS19" s="95"/>
      <c r="AT19" s="232" t="s">
        <v>629</v>
      </c>
      <c r="AU19" s="137" t="s">
        <v>630</v>
      </c>
      <c r="AV19" s="137" t="s">
        <v>630</v>
      </c>
      <c r="AW19" s="137" t="s">
        <v>630</v>
      </c>
      <c r="AX19" s="95"/>
    </row>
    <row r="20" spans="1:50" s="209" customFormat="1" ht="151.5" hidden="1" customHeight="1" x14ac:dyDescent="0.25">
      <c r="A20" s="410"/>
      <c r="B20" s="375"/>
      <c r="C20" s="407"/>
      <c r="D20" s="409"/>
      <c r="E20" s="394"/>
      <c r="F20" s="394"/>
      <c r="G20" s="394"/>
      <c r="H20" s="396"/>
      <c r="I20" s="394"/>
      <c r="J20" s="392"/>
      <c r="K20" s="389"/>
      <c r="L20" s="402"/>
      <c r="M20" s="405"/>
      <c r="N20" s="188"/>
      <c r="O20" s="389"/>
      <c r="P20" s="402"/>
      <c r="Q20" s="399"/>
      <c r="R20" s="189">
        <v>2</v>
      </c>
      <c r="S20" s="122"/>
      <c r="T20" s="190" t="str">
        <f t="shared" ref="T20:T21" si="39">IF(OR(U20="Preventivo",U20="Detectivo"),"Probabilidad",IF(U20="Correctivo","Impacto",""))</f>
        <v/>
      </c>
      <c r="U20" s="191"/>
      <c r="V20" s="191"/>
      <c r="W20" s="192"/>
      <c r="X20" s="191"/>
      <c r="Y20" s="191"/>
      <c r="Z20" s="191"/>
      <c r="AA20" s="145" t="str">
        <f>IFERROR(IF(T20="Probabilidad",(AA19-(+AA19*W20)),IF(T20="Impacto",L20,"")),"")</f>
        <v/>
      </c>
      <c r="AB20" s="193" t="str">
        <f t="shared" ref="AB20:AB21" si="40">IFERROR(IF(AA20="","",IF(AA20&lt;=0.2,"Muy Baja",IF(AA20&lt;=0.4,"Baja",IF(AA20&lt;=0.6,"Media",IF(AA20&lt;=0.8,"Alta","Muy Alta"))))),"")</f>
        <v/>
      </c>
      <c r="AC20" s="194" t="str">
        <f t="shared" ref="AC20:AC21" si="41">+AA20</f>
        <v/>
      </c>
      <c r="AD20" s="193" t="str">
        <f t="shared" ref="AD20:AD21" si="42">IFERROR(IF(AE20="","",IF(AE20&lt;=0.2,"Leve",IF(AE20&lt;=0.4,"Menor",IF(AE20&lt;=0.6,"Moderado",IF(AE20&lt;=0.8,"Mayor","Catastrófico"))))),"")</f>
        <v/>
      </c>
      <c r="AE20" s="194" t="str">
        <f t="shared" ref="AE20:AE21" si="43">IFERROR(IF(T20="Impacto",(P20-(+P20*W20)),IF(T20="Probabilidad",P20,"")),"")</f>
        <v/>
      </c>
      <c r="AF20" s="195" t="str">
        <f t="shared" ref="AF20:AF21" si="44">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196"/>
      <c r="AH20" s="122"/>
      <c r="AI20" s="117"/>
      <c r="AJ20" s="124"/>
      <c r="AK20" s="124"/>
      <c r="AL20" s="122"/>
      <c r="AM20" s="95"/>
      <c r="AN20" s="95"/>
      <c r="AO20" s="137" t="s">
        <v>630</v>
      </c>
      <c r="AP20" s="95"/>
      <c r="AQ20" s="95"/>
      <c r="AR20" s="218">
        <v>1</v>
      </c>
      <c r="AS20" s="95"/>
      <c r="AT20" s="232" t="s">
        <v>629</v>
      </c>
      <c r="AU20" s="137" t="s">
        <v>630</v>
      </c>
      <c r="AV20" s="137" t="s">
        <v>630</v>
      </c>
      <c r="AW20" s="137" t="s">
        <v>630</v>
      </c>
      <c r="AX20" s="95"/>
    </row>
    <row r="21" spans="1:50" s="147" customFormat="1" ht="151.5" hidden="1" customHeight="1" x14ac:dyDescent="0.25">
      <c r="A21" s="412"/>
      <c r="B21" s="376"/>
      <c r="C21" s="407"/>
      <c r="D21" s="409"/>
      <c r="E21" s="394"/>
      <c r="F21" s="394"/>
      <c r="G21" s="394"/>
      <c r="H21" s="396"/>
      <c r="I21" s="394"/>
      <c r="J21" s="392"/>
      <c r="K21" s="390"/>
      <c r="L21" s="403"/>
      <c r="M21" s="405"/>
      <c r="N21" s="136"/>
      <c r="O21" s="390"/>
      <c r="P21" s="403"/>
      <c r="Q21" s="400"/>
      <c r="R21" s="126">
        <v>3</v>
      </c>
      <c r="S21" s="95"/>
      <c r="T21" s="127" t="str">
        <f t="shared" si="39"/>
        <v/>
      </c>
      <c r="U21" s="128"/>
      <c r="V21" s="128"/>
      <c r="W21" s="129"/>
      <c r="X21" s="128"/>
      <c r="Y21" s="128"/>
      <c r="Z21" s="128"/>
      <c r="AA21" s="140" t="str">
        <f>IFERROR(IF(T21="Probabilidad",(AA20-(+AA20*W21)),IF(T21="Impacto",L21,"")),"")</f>
        <v/>
      </c>
      <c r="AB21" s="131" t="str">
        <f t="shared" si="40"/>
        <v/>
      </c>
      <c r="AC21" s="132" t="str">
        <f t="shared" si="41"/>
        <v/>
      </c>
      <c r="AD21" s="131" t="str">
        <f t="shared" si="42"/>
        <v/>
      </c>
      <c r="AE21" s="132" t="str">
        <f t="shared" si="43"/>
        <v/>
      </c>
      <c r="AF21" s="133" t="str">
        <f t="shared" si="44"/>
        <v/>
      </c>
      <c r="AG21" s="134"/>
      <c r="AH21" s="95"/>
      <c r="AI21" s="123"/>
      <c r="AJ21" s="135"/>
      <c r="AK21" s="135"/>
      <c r="AL21" s="95"/>
      <c r="AM21" s="95"/>
      <c r="AN21" s="95"/>
      <c r="AO21" s="137" t="s">
        <v>630</v>
      </c>
      <c r="AP21" s="95"/>
      <c r="AQ21" s="95"/>
      <c r="AR21" s="218">
        <v>1</v>
      </c>
      <c r="AS21" s="95"/>
      <c r="AT21" s="232" t="s">
        <v>629</v>
      </c>
      <c r="AU21" s="137" t="s">
        <v>630</v>
      </c>
      <c r="AV21" s="137" t="s">
        <v>630</v>
      </c>
      <c r="AW21" s="137" t="s">
        <v>630</v>
      </c>
      <c r="AX21" s="95"/>
    </row>
    <row r="22" spans="1:50" s="147" customFormat="1" ht="171.95" customHeight="1" x14ac:dyDescent="0.25">
      <c r="A22" s="411">
        <v>6</v>
      </c>
      <c r="B22" s="374" t="s">
        <v>206</v>
      </c>
      <c r="C22" s="406" t="s">
        <v>207</v>
      </c>
      <c r="D22" s="406" t="s">
        <v>375</v>
      </c>
      <c r="E22" s="393" t="s">
        <v>119</v>
      </c>
      <c r="F22" s="397" t="s">
        <v>214</v>
      </c>
      <c r="G22" s="393" t="s">
        <v>215</v>
      </c>
      <c r="H22" s="395" t="s">
        <v>339</v>
      </c>
      <c r="I22" s="393" t="s">
        <v>328</v>
      </c>
      <c r="J22" s="391">
        <v>1</v>
      </c>
      <c r="K22" s="388" t="str">
        <f>IF(J22&lt;=0,"",IF(J22&lt;=2,"Muy Baja",IF(J22&lt;=24,"Baja",IF(J22&lt;=500,"Media",IF(J22&lt;=5000,"Alta","Muy Alta")))))</f>
        <v>Muy Baja</v>
      </c>
      <c r="L22" s="401">
        <f>IF(K22="","",IF(K22="Muy Baja",0.2,IF(K22="Baja",0.4,IF(K22="Media",0.6,IF(K22="Alta",0.8,IF(K22="Muy Alta",1,))))))</f>
        <v>0.2</v>
      </c>
      <c r="M22" s="404" t="s">
        <v>485</v>
      </c>
      <c r="N22" s="125" t="str">
        <f>IF(NOT(ISERROR(MATCH(M22,'Tabla Impacto'!$B$221:$B$223,0))),'Tabla Impacto'!$F$223&amp;"Por favor no seleccionar los criterios de impacto(Afectación Económica o presupuestal y Pérdida Reputacional)",M22)</f>
        <v xml:space="preserve"> Entre 50 y 100 SMLMV </v>
      </c>
      <c r="O22" s="388" t="str">
        <f>IF(OR(N22='Tabla Impacto'!$C$11,N22='Tabla Impacto'!$D$11),"Leve",IF(OR(N22='Tabla Impacto'!$C$12,N22='Tabla Impacto'!$D$12),"Menor",IF(OR(N22='Tabla Impacto'!$C$13,N22='Tabla Impacto'!$D$13),"Moderado",IF(OR(N22='Tabla Impacto'!$C$14,N22='Tabla Impacto'!$D$14),"Mayor",IF(OR(N22='Tabla Impacto'!$C$15,N22='Tabla Impacto'!$D$15),"Catastrófico","")))))</f>
        <v>Moderado</v>
      </c>
      <c r="P22" s="401">
        <f>IF(O22="","",IF(O22="Leve",0.2,IF(O22="Menor",0.4,IF(O22="Moderado",0.6,IF(O22="Mayor",0.8,IF(O22="Catastrófico",1,))))))</f>
        <v>0.6</v>
      </c>
      <c r="Q22" s="398" t="str">
        <f>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Moderado</v>
      </c>
      <c r="R22" s="126">
        <v>1</v>
      </c>
      <c r="S22" s="95" t="s">
        <v>216</v>
      </c>
      <c r="T22" s="127" t="str">
        <f t="shared" si="25"/>
        <v>Probabilidad</v>
      </c>
      <c r="U22" s="128" t="s">
        <v>15</v>
      </c>
      <c r="V22" s="128" t="s">
        <v>9</v>
      </c>
      <c r="W22" s="129" t="str">
        <f t="shared" si="26"/>
        <v>30%</v>
      </c>
      <c r="X22" s="128" t="s">
        <v>20</v>
      </c>
      <c r="Y22" s="128" t="s">
        <v>23</v>
      </c>
      <c r="Z22" s="128" t="s">
        <v>111</v>
      </c>
      <c r="AA22" s="130">
        <f t="shared" si="27"/>
        <v>0.14000000000000001</v>
      </c>
      <c r="AB22" s="131" t="str">
        <f t="shared" si="28"/>
        <v>Muy Baja</v>
      </c>
      <c r="AC22" s="132">
        <f t="shared" si="29"/>
        <v>0.14000000000000001</v>
      </c>
      <c r="AD22" s="131" t="str">
        <f t="shared" si="30"/>
        <v>Moderado</v>
      </c>
      <c r="AE22" s="132">
        <f t="shared" si="31"/>
        <v>0.6</v>
      </c>
      <c r="AF22" s="133" t="str">
        <f t="shared" si="32"/>
        <v>Moderado</v>
      </c>
      <c r="AG22" s="134" t="s">
        <v>122</v>
      </c>
      <c r="AH22" s="95" t="s">
        <v>217</v>
      </c>
      <c r="AI22" s="123" t="s">
        <v>203</v>
      </c>
      <c r="AJ22" s="124">
        <v>44562</v>
      </c>
      <c r="AK22" s="124" t="s">
        <v>373</v>
      </c>
      <c r="AL22" s="122" t="s">
        <v>329</v>
      </c>
      <c r="AM22" s="95" t="s">
        <v>650</v>
      </c>
      <c r="AN22" s="137" t="s">
        <v>630</v>
      </c>
      <c r="AO22" s="137" t="s">
        <v>630</v>
      </c>
      <c r="AP22" s="95" t="s">
        <v>650</v>
      </c>
      <c r="AQ22" s="137" t="s">
        <v>630</v>
      </c>
      <c r="AR22" s="218" t="s">
        <v>630</v>
      </c>
      <c r="AS22" s="95"/>
      <c r="AT22" s="232" t="s">
        <v>629</v>
      </c>
      <c r="AU22" s="137" t="s">
        <v>630</v>
      </c>
      <c r="AV22" s="137" t="s">
        <v>630</v>
      </c>
      <c r="AW22" s="137" t="s">
        <v>630</v>
      </c>
      <c r="AX22" s="95"/>
    </row>
    <row r="23" spans="1:50" s="147" customFormat="1" ht="151.5" hidden="1" customHeight="1" x14ac:dyDescent="0.25">
      <c r="A23" s="410"/>
      <c r="B23" s="375"/>
      <c r="C23" s="407"/>
      <c r="D23" s="409"/>
      <c r="E23" s="394"/>
      <c r="F23" s="394"/>
      <c r="G23" s="394"/>
      <c r="H23" s="396"/>
      <c r="I23" s="394"/>
      <c r="J23" s="392"/>
      <c r="K23" s="389"/>
      <c r="L23" s="402"/>
      <c r="M23" s="405"/>
      <c r="N23" s="136"/>
      <c r="O23" s="389"/>
      <c r="P23" s="402"/>
      <c r="Q23" s="399"/>
      <c r="R23" s="126">
        <v>2</v>
      </c>
      <c r="S23" s="95"/>
      <c r="T23" s="127" t="str">
        <f t="shared" ref="T23:T45" si="45">IF(OR(U23="Preventivo",U23="Detectivo"),"Probabilidad",IF(U23="Correctivo","Impacto",""))</f>
        <v/>
      </c>
      <c r="U23" s="128"/>
      <c r="V23" s="128"/>
      <c r="W23" s="129" t="str">
        <f t="shared" ref="W23:W44" si="46">IF(AND(U23="Preventivo",V23="Automático"),"50%",IF(AND(U23="Preventivo",V23="Manual"),"40%",IF(AND(U23="Detectivo",V23="Automático"),"40%",IF(AND(U23="Detectivo",V23="Manual"),"30%",IF(AND(U23="Correctivo",V23="Automático"),"35%",IF(AND(U23="Correctivo",V23="Manual"),"25%",""))))))</f>
        <v/>
      </c>
      <c r="X23" s="128"/>
      <c r="Y23" s="128"/>
      <c r="Z23" s="128"/>
      <c r="AA23" s="130" t="str">
        <f>IFERROR(IF(T23="Probabilidad",(AA22-(+AA22*W23)),IF(T23="Impacto",L23,"")),"")</f>
        <v/>
      </c>
      <c r="AB23" s="131" t="str">
        <f t="shared" ref="AB23:AB45" si="47">IFERROR(IF(AA23="","",IF(AA23&lt;=0.2,"Muy Baja",IF(AA23&lt;=0.4,"Baja",IF(AA23&lt;=0.6,"Media",IF(AA23&lt;=0.8,"Alta","Muy Alta"))))),"")</f>
        <v/>
      </c>
      <c r="AC23" s="132" t="str">
        <f t="shared" ref="AC23:AC45" si="48">+AA23</f>
        <v/>
      </c>
      <c r="AD23" s="131" t="str">
        <f t="shared" ref="AD23:AD45" si="49">IFERROR(IF(AE23="","",IF(AE23&lt;=0.2,"Leve",IF(AE23&lt;=0.4,"Menor",IF(AE23&lt;=0.6,"Moderado",IF(AE23&lt;=0.8,"Mayor","Catastrófico"))))),"")</f>
        <v/>
      </c>
      <c r="AE23" s="132" t="str">
        <f t="shared" ref="AE23:AE45" si="50">IFERROR(IF(T23="Impacto",(P23-(+P23*W23)),IF(T23="Probabilidad",P23,"")),"")</f>
        <v/>
      </c>
      <c r="AF23" s="133" t="str">
        <f t="shared" ref="AF23:AF45" si="51">IFERROR(IF(OR(AND(AB23="Muy Baja",AD23="Leve"),AND(AB23="Muy Baja",AD23="Menor"),AND(AB23="Baja",AD23="Leve")),"Bajo",IF(OR(AND(AB23="Muy baja",AD23="Moderado"),AND(AB23="Baja",AD23="Menor"),AND(AB23="Baja",AD23="Moderado"),AND(AB23="Media",AD23="Leve"),AND(AB23="Media",AD23="Menor"),AND(AB23="Media",AD23="Moderado"),AND(AB23="Alta",AD23="Leve"),AND(AB23="Alta",AD23="Menor")),"Moderado",IF(OR(AND(AB23="Muy Baja",AD23="Mayor"),AND(AB23="Baja",AD23="Mayor"),AND(AB23="Media",AD23="Mayor"),AND(AB23="Alta",AD23="Moderado"),AND(AB23="Alta",AD23="Mayor"),AND(AB23="Muy Alta",AD23="Leve"),AND(AB23="Muy Alta",AD23="Menor"),AND(AB23="Muy Alta",AD23="Moderado"),AND(AB23="Muy Alta",AD23="Mayor")),"Alto",IF(OR(AND(AB23="Muy Baja",AD23="Catastrófico"),AND(AB23="Baja",AD23="Catastrófico"),AND(AB23="Media",AD23="Catastrófico"),AND(AB23="Alta",AD23="Catastrófico"),AND(AB23="Muy Alta",AD23="Catastrófico")),"Extremo","")))),"")</f>
        <v/>
      </c>
      <c r="AG23" s="134"/>
      <c r="AH23" s="95"/>
      <c r="AI23" s="123"/>
      <c r="AJ23" s="135"/>
      <c r="AK23" s="135"/>
      <c r="AL23" s="95"/>
      <c r="AM23" s="95"/>
      <c r="AN23" s="95"/>
      <c r="AO23" s="137"/>
      <c r="AP23" s="95"/>
      <c r="AQ23" s="95"/>
      <c r="AR23" s="137"/>
      <c r="AS23" s="95"/>
      <c r="AT23" s="232" t="s">
        <v>629</v>
      </c>
      <c r="AU23" s="137" t="s">
        <v>630</v>
      </c>
      <c r="AV23" s="137" t="s">
        <v>630</v>
      </c>
      <c r="AW23" s="137" t="s">
        <v>630</v>
      </c>
      <c r="AX23" s="95"/>
    </row>
    <row r="24" spans="1:50" s="147" customFormat="1" ht="151.5" hidden="1" customHeight="1" x14ac:dyDescent="0.25">
      <c r="A24" s="410"/>
      <c r="B24" s="376"/>
      <c r="C24" s="407"/>
      <c r="D24" s="409"/>
      <c r="E24" s="394"/>
      <c r="F24" s="394"/>
      <c r="G24" s="394"/>
      <c r="H24" s="396"/>
      <c r="I24" s="394"/>
      <c r="J24" s="392"/>
      <c r="K24" s="390"/>
      <c r="L24" s="403"/>
      <c r="M24" s="405"/>
      <c r="N24" s="136"/>
      <c r="O24" s="390"/>
      <c r="P24" s="403"/>
      <c r="Q24" s="400"/>
      <c r="R24" s="126">
        <v>3</v>
      </c>
      <c r="S24" s="95"/>
      <c r="T24" s="127" t="str">
        <f t="shared" si="45"/>
        <v/>
      </c>
      <c r="U24" s="128"/>
      <c r="V24" s="128"/>
      <c r="W24" s="129" t="str">
        <f t="shared" si="46"/>
        <v/>
      </c>
      <c r="X24" s="128"/>
      <c r="Y24" s="128"/>
      <c r="Z24" s="128"/>
      <c r="AA24" s="130" t="str">
        <f>IFERROR(IF(T24="Probabilidad",(AA23-(+AA23*W24)),IF(T24="Impacto",L24,"")),"")</f>
        <v/>
      </c>
      <c r="AB24" s="131" t="str">
        <f t="shared" si="47"/>
        <v/>
      </c>
      <c r="AC24" s="132" t="str">
        <f t="shared" si="48"/>
        <v/>
      </c>
      <c r="AD24" s="131" t="str">
        <f t="shared" si="49"/>
        <v/>
      </c>
      <c r="AE24" s="132" t="str">
        <f t="shared" si="50"/>
        <v/>
      </c>
      <c r="AF24" s="133" t="str">
        <f t="shared" si="51"/>
        <v/>
      </c>
      <c r="AG24" s="134"/>
      <c r="AH24" s="95"/>
      <c r="AI24" s="123"/>
      <c r="AJ24" s="135"/>
      <c r="AK24" s="135"/>
      <c r="AL24" s="95"/>
      <c r="AM24" s="95"/>
      <c r="AN24" s="95"/>
      <c r="AO24" s="137"/>
      <c r="AP24" s="95"/>
      <c r="AQ24" s="95"/>
      <c r="AR24" s="137"/>
      <c r="AS24" s="95"/>
      <c r="AT24" s="232" t="s">
        <v>629</v>
      </c>
      <c r="AU24" s="137" t="s">
        <v>630</v>
      </c>
      <c r="AV24" s="137" t="s">
        <v>630</v>
      </c>
      <c r="AW24" s="137" t="s">
        <v>630</v>
      </c>
      <c r="AX24" s="95"/>
    </row>
    <row r="25" spans="1:50" s="147" customFormat="1" ht="226.5" customHeight="1" x14ac:dyDescent="0.25">
      <c r="A25" s="410">
        <v>7</v>
      </c>
      <c r="B25" s="374" t="s">
        <v>218</v>
      </c>
      <c r="C25" s="406" t="s">
        <v>219</v>
      </c>
      <c r="D25" s="406" t="s">
        <v>220</v>
      </c>
      <c r="E25" s="393" t="s">
        <v>120</v>
      </c>
      <c r="F25" s="397" t="s">
        <v>221</v>
      </c>
      <c r="G25" s="393" t="s">
        <v>222</v>
      </c>
      <c r="H25" s="395" t="s">
        <v>583</v>
      </c>
      <c r="I25" s="393" t="s">
        <v>115</v>
      </c>
      <c r="J25" s="391">
        <v>1460</v>
      </c>
      <c r="K25" s="388" t="str">
        <f>IF(J25&lt;=0,"",IF(J25&lt;=2,"Muy Baja",IF(J25&lt;=24,"Baja",IF(J25&lt;=500,"Media",IF(J25&lt;=5000,"Alta","Muy Alta")))))</f>
        <v>Alta</v>
      </c>
      <c r="L25" s="401">
        <f>IF(K25="","",IF(K25="Muy Baja",0.2,IF(K25="Baja",0.4,IF(K25="Media",0.6,IF(K25="Alta",0.8,IF(K25="Muy Alta",1,))))))</f>
        <v>0.8</v>
      </c>
      <c r="M25" s="404" t="s">
        <v>486</v>
      </c>
      <c r="N25" s="125" t="str">
        <f>IF(NOT(ISERROR(MATCH(M25,'Tabla Impacto'!$B$221:$B$223,0))),'Tabla Impacto'!$F$223&amp;"Por favor no seleccionar los criterios de impacto(Afectación Económica o presupuestal y Pérdida Reputacional)",M25)</f>
        <v xml:space="preserve"> El riesgo afecta la imagen de la entidad con algunos usuarios de relevancia frente al logro de los objetivos</v>
      </c>
      <c r="O25" s="388" t="str">
        <f>IF(OR(N25='Tabla Impacto'!$C$11,N25='Tabla Impacto'!$D$11),"Leve",IF(OR(N25='Tabla Impacto'!$C$12,N25='Tabla Impacto'!$D$12),"Menor",IF(OR(N25='Tabla Impacto'!$C$13,N25='Tabla Impacto'!$D$13),"Moderado",IF(OR(N25='Tabla Impacto'!$C$14,N25='Tabla Impacto'!$D$14),"Mayor",IF(OR(N25='Tabla Impacto'!$C$15,N25='Tabla Impacto'!$D$15),"Catastrófico","")))))</f>
        <v>Moderado</v>
      </c>
      <c r="P25" s="401">
        <f>IF(O25="","",IF(O25="Leve",0.2,IF(O25="Menor",0.4,IF(O25="Moderado",0.6,IF(O25="Mayor",0.8,IF(O25="Catastrófico",1,))))))</f>
        <v>0.6</v>
      </c>
      <c r="Q25" s="398" t="str">
        <f>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Alto</v>
      </c>
      <c r="R25" s="126">
        <v>1</v>
      </c>
      <c r="S25" s="95" t="s">
        <v>584</v>
      </c>
      <c r="T25" s="127" t="str">
        <f t="shared" si="45"/>
        <v>Probabilidad</v>
      </c>
      <c r="U25" s="128" t="s">
        <v>14</v>
      </c>
      <c r="V25" s="128" t="s">
        <v>9</v>
      </c>
      <c r="W25" s="129" t="str">
        <f t="shared" si="46"/>
        <v>40%</v>
      </c>
      <c r="X25" s="128" t="s">
        <v>19</v>
      </c>
      <c r="Y25" s="128" t="s">
        <v>22</v>
      </c>
      <c r="Z25" s="128" t="s">
        <v>110</v>
      </c>
      <c r="AA25" s="130">
        <f t="shared" ref="AA25:AA43" si="52">IFERROR(IF(T25="Probabilidad",(L25-(+L25*W25)),IF(T25="Impacto",L25,"")),"")</f>
        <v>0.48</v>
      </c>
      <c r="AB25" s="131" t="str">
        <f t="shared" si="47"/>
        <v>Media</v>
      </c>
      <c r="AC25" s="132">
        <f t="shared" si="48"/>
        <v>0.48</v>
      </c>
      <c r="AD25" s="131" t="str">
        <f t="shared" si="49"/>
        <v>Moderado</v>
      </c>
      <c r="AE25" s="132">
        <f t="shared" si="50"/>
        <v>0.6</v>
      </c>
      <c r="AF25" s="133" t="str">
        <f t="shared" si="51"/>
        <v>Moderado</v>
      </c>
      <c r="AG25" s="134" t="s">
        <v>122</v>
      </c>
      <c r="AH25" s="116" t="s">
        <v>223</v>
      </c>
      <c r="AI25" s="141" t="s">
        <v>212</v>
      </c>
      <c r="AJ25" s="124">
        <v>44562</v>
      </c>
      <c r="AK25" s="124" t="s">
        <v>373</v>
      </c>
      <c r="AL25" s="116" t="s">
        <v>585</v>
      </c>
      <c r="AM25" s="95" t="s">
        <v>651</v>
      </c>
      <c r="AN25" s="146" t="s">
        <v>652</v>
      </c>
      <c r="AO25" s="218">
        <v>1</v>
      </c>
      <c r="AP25" s="95" t="s">
        <v>858</v>
      </c>
      <c r="AQ25" s="95" t="s">
        <v>653</v>
      </c>
      <c r="AR25" s="218">
        <v>1</v>
      </c>
      <c r="AS25" s="95"/>
      <c r="AT25" s="232" t="s">
        <v>629</v>
      </c>
      <c r="AU25" s="137" t="s">
        <v>630</v>
      </c>
      <c r="AV25" s="137" t="s">
        <v>630</v>
      </c>
      <c r="AW25" s="137" t="s">
        <v>630</v>
      </c>
      <c r="AX25" s="95"/>
    </row>
    <row r="26" spans="1:50" s="147" customFormat="1" ht="151.5" hidden="1" customHeight="1" x14ac:dyDescent="0.25">
      <c r="A26" s="410"/>
      <c r="B26" s="375"/>
      <c r="C26" s="407"/>
      <c r="D26" s="409"/>
      <c r="E26" s="394"/>
      <c r="F26" s="394"/>
      <c r="G26" s="394"/>
      <c r="H26" s="396"/>
      <c r="I26" s="394"/>
      <c r="J26" s="392"/>
      <c r="K26" s="389"/>
      <c r="L26" s="402"/>
      <c r="M26" s="405"/>
      <c r="N26" s="136"/>
      <c r="O26" s="389"/>
      <c r="P26" s="402"/>
      <c r="Q26" s="399"/>
      <c r="R26" s="126">
        <v>2</v>
      </c>
      <c r="S26" s="95"/>
      <c r="T26" s="127" t="str">
        <f t="shared" si="45"/>
        <v/>
      </c>
      <c r="U26" s="128"/>
      <c r="V26" s="128"/>
      <c r="W26" s="129"/>
      <c r="X26" s="128"/>
      <c r="Y26" s="128"/>
      <c r="Z26" s="128"/>
      <c r="AA26" s="130" t="str">
        <f>IFERROR(IF(T26="Probabilidad",(AA25-(+AA25*W26)),IF(T26="Impacto",L26,"")),"")</f>
        <v/>
      </c>
      <c r="AB26" s="131" t="str">
        <f t="shared" si="47"/>
        <v/>
      </c>
      <c r="AC26" s="132" t="str">
        <f t="shared" si="48"/>
        <v/>
      </c>
      <c r="AD26" s="131" t="str">
        <f t="shared" si="49"/>
        <v/>
      </c>
      <c r="AE26" s="132" t="str">
        <f t="shared" si="50"/>
        <v/>
      </c>
      <c r="AF26" s="133" t="str">
        <f t="shared" si="51"/>
        <v/>
      </c>
      <c r="AG26" s="134"/>
      <c r="AH26" s="95"/>
      <c r="AI26" s="123"/>
      <c r="AJ26" s="135"/>
      <c r="AK26" s="135"/>
      <c r="AL26" s="95"/>
      <c r="AM26" s="95"/>
      <c r="AN26" s="95"/>
      <c r="AO26" s="137"/>
      <c r="AP26" s="95"/>
      <c r="AQ26" s="95"/>
      <c r="AR26" s="137"/>
      <c r="AS26" s="95"/>
      <c r="AT26" s="232" t="s">
        <v>629</v>
      </c>
      <c r="AU26" s="137" t="s">
        <v>630</v>
      </c>
      <c r="AV26" s="137" t="s">
        <v>630</v>
      </c>
      <c r="AW26" s="137" t="s">
        <v>630</v>
      </c>
      <c r="AX26" s="95"/>
    </row>
    <row r="27" spans="1:50" s="147" customFormat="1" ht="151.5" hidden="1" customHeight="1" x14ac:dyDescent="0.25">
      <c r="A27" s="410"/>
      <c r="B27" s="376"/>
      <c r="C27" s="407"/>
      <c r="D27" s="409"/>
      <c r="E27" s="394"/>
      <c r="F27" s="394"/>
      <c r="G27" s="394"/>
      <c r="H27" s="396"/>
      <c r="I27" s="394"/>
      <c r="J27" s="392"/>
      <c r="K27" s="390"/>
      <c r="L27" s="403"/>
      <c r="M27" s="405"/>
      <c r="N27" s="136"/>
      <c r="O27" s="390"/>
      <c r="P27" s="403"/>
      <c r="Q27" s="400"/>
      <c r="R27" s="126">
        <v>3</v>
      </c>
      <c r="S27" s="95"/>
      <c r="T27" s="127" t="str">
        <f t="shared" si="45"/>
        <v/>
      </c>
      <c r="U27" s="128"/>
      <c r="V27" s="128"/>
      <c r="W27" s="129"/>
      <c r="X27" s="128"/>
      <c r="Y27" s="128"/>
      <c r="Z27" s="128"/>
      <c r="AA27" s="130" t="str">
        <f>IFERROR(IF(T27="Probabilidad",(AA26-(+AA26*W27)),IF(T27="Impacto",L27,"")),"")</f>
        <v/>
      </c>
      <c r="AB27" s="131" t="str">
        <f t="shared" si="47"/>
        <v/>
      </c>
      <c r="AC27" s="132" t="str">
        <f t="shared" si="48"/>
        <v/>
      </c>
      <c r="AD27" s="131" t="str">
        <f t="shared" si="49"/>
        <v/>
      </c>
      <c r="AE27" s="132" t="str">
        <f t="shared" si="50"/>
        <v/>
      </c>
      <c r="AF27" s="133" t="str">
        <f t="shared" si="51"/>
        <v/>
      </c>
      <c r="AG27" s="134"/>
      <c r="AH27" s="95"/>
      <c r="AI27" s="123"/>
      <c r="AJ27" s="135"/>
      <c r="AK27" s="135"/>
      <c r="AL27" s="95"/>
      <c r="AM27" s="95"/>
      <c r="AN27" s="95"/>
      <c r="AO27" s="137"/>
      <c r="AP27" s="95"/>
      <c r="AQ27" s="95"/>
      <c r="AR27" s="137"/>
      <c r="AS27" s="95"/>
      <c r="AT27" s="232" t="s">
        <v>629</v>
      </c>
      <c r="AU27" s="137" t="s">
        <v>630</v>
      </c>
      <c r="AV27" s="137" t="s">
        <v>630</v>
      </c>
      <c r="AW27" s="137" t="s">
        <v>630</v>
      </c>
      <c r="AX27" s="95"/>
    </row>
    <row r="28" spans="1:50" s="147" customFormat="1" ht="286.5" customHeight="1" x14ac:dyDescent="0.25">
      <c r="A28" s="410">
        <v>8</v>
      </c>
      <c r="B28" s="374" t="s">
        <v>224</v>
      </c>
      <c r="C28" s="406" t="s">
        <v>219</v>
      </c>
      <c r="D28" s="406" t="s">
        <v>220</v>
      </c>
      <c r="E28" s="393" t="s">
        <v>118</v>
      </c>
      <c r="F28" s="393" t="s">
        <v>225</v>
      </c>
      <c r="G28" s="393" t="s">
        <v>439</v>
      </c>
      <c r="H28" s="395" t="s">
        <v>226</v>
      </c>
      <c r="I28" s="393" t="s">
        <v>328</v>
      </c>
      <c r="J28" s="391">
        <v>1460</v>
      </c>
      <c r="K28" s="388" t="str">
        <f>IF(J28&lt;=0,"",IF(J28&lt;=2,"Muy Baja",IF(J28&lt;=24,"Baja",IF(J28&lt;=500,"Media",IF(J28&lt;=5000,"Alta","Muy Alta")))))</f>
        <v>Alta</v>
      </c>
      <c r="L28" s="401">
        <f>IF(K28="","",IF(K28="Muy Baja",0.2,IF(K28="Baja",0.4,IF(K28="Media",0.6,IF(K28="Alta",0.8,IF(K28="Muy Alta",1,))))))</f>
        <v>0.8</v>
      </c>
      <c r="M28" s="404" t="s">
        <v>493</v>
      </c>
      <c r="N28" s="125" t="str">
        <f>IF(NOT(ISERROR(MATCH(M28,'Tabla Impacto'!$B$221:$B$223,0))),'Tabla Impacto'!$F$223&amp;"Por favor no seleccionar los criterios de impacto(Afectación Económica o presupuestal y Pérdida Reputacional)",M28)</f>
        <v xml:space="preserve"> El riesgo afecta la imagen de la entidad con efecto publicitario sostenido a nivel de sector administrativo, nivel departamental o municipal</v>
      </c>
      <c r="O28" s="388" t="str">
        <f>IF(OR(N28='Tabla Impacto'!$C$11,N28='Tabla Impacto'!$D$11),"Leve",IF(OR(N28='Tabla Impacto'!$C$12,N28='Tabla Impacto'!$D$12),"Menor",IF(OR(N28='Tabla Impacto'!$C$13,N28='Tabla Impacto'!$D$13),"Moderado",IF(OR(N28='Tabla Impacto'!$C$14,N28='Tabla Impacto'!$D$14),"Mayor",IF(OR(N28='Tabla Impacto'!$C$15,N28='Tabla Impacto'!$D$15),"Catastrófico","")))))</f>
        <v>Mayor</v>
      </c>
      <c r="P28" s="401">
        <f>IF(O28="","",IF(O28="Leve",0.2,IF(O28="Menor",0.4,IF(O28="Moderado",0.6,IF(O28="Mayor",0.8,IF(O28="Catastrófico",1,))))))</f>
        <v>0.8</v>
      </c>
      <c r="Q28" s="398" t="str">
        <f>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243">
        <v>1</v>
      </c>
      <c r="S28" s="244" t="s">
        <v>227</v>
      </c>
      <c r="T28" s="245" t="str">
        <f t="shared" si="45"/>
        <v>Probabilidad</v>
      </c>
      <c r="U28" s="246" t="s">
        <v>14</v>
      </c>
      <c r="V28" s="246" t="s">
        <v>9</v>
      </c>
      <c r="W28" s="247" t="str">
        <f t="shared" si="46"/>
        <v>40%</v>
      </c>
      <c r="X28" s="246" t="s">
        <v>19</v>
      </c>
      <c r="Y28" s="246" t="s">
        <v>22</v>
      </c>
      <c r="Z28" s="246" t="s">
        <v>110</v>
      </c>
      <c r="AA28" s="140">
        <f t="shared" si="52"/>
        <v>0.48</v>
      </c>
      <c r="AB28" s="248" t="str">
        <f t="shared" si="47"/>
        <v>Media</v>
      </c>
      <c r="AC28" s="249">
        <f t="shared" si="48"/>
        <v>0.48</v>
      </c>
      <c r="AD28" s="248" t="str">
        <f t="shared" si="49"/>
        <v>Mayor</v>
      </c>
      <c r="AE28" s="249">
        <f t="shared" si="50"/>
        <v>0.8</v>
      </c>
      <c r="AF28" s="250" t="str">
        <f t="shared" si="51"/>
        <v>Alto</v>
      </c>
      <c r="AG28" s="251" t="s">
        <v>122</v>
      </c>
      <c r="AH28" s="244" t="s">
        <v>229</v>
      </c>
      <c r="AI28" s="252" t="s">
        <v>212</v>
      </c>
      <c r="AJ28" s="253">
        <v>44562</v>
      </c>
      <c r="AK28" s="253" t="s">
        <v>373</v>
      </c>
      <c r="AL28" s="244" t="s">
        <v>230</v>
      </c>
      <c r="AM28" s="237" t="s">
        <v>654</v>
      </c>
      <c r="AN28" s="254" t="s">
        <v>655</v>
      </c>
      <c r="AO28" s="239">
        <v>1</v>
      </c>
      <c r="AP28" s="237" t="s">
        <v>656</v>
      </c>
      <c r="AQ28" s="237" t="s">
        <v>657</v>
      </c>
      <c r="AR28" s="239">
        <v>1</v>
      </c>
      <c r="AS28" s="237"/>
      <c r="AT28" s="241" t="s">
        <v>629</v>
      </c>
      <c r="AU28" s="235" t="s">
        <v>630</v>
      </c>
      <c r="AV28" s="235" t="s">
        <v>630</v>
      </c>
      <c r="AW28" s="235" t="s">
        <v>630</v>
      </c>
      <c r="AX28" s="237" t="s">
        <v>865</v>
      </c>
    </row>
    <row r="29" spans="1:50" s="147" customFormat="1" ht="151.5" customHeight="1" x14ac:dyDescent="0.25">
      <c r="A29" s="410"/>
      <c r="B29" s="375"/>
      <c r="C29" s="407"/>
      <c r="D29" s="409"/>
      <c r="E29" s="394"/>
      <c r="F29" s="394"/>
      <c r="G29" s="394"/>
      <c r="H29" s="396"/>
      <c r="I29" s="394"/>
      <c r="J29" s="392"/>
      <c r="K29" s="389"/>
      <c r="L29" s="402"/>
      <c r="M29" s="405"/>
      <c r="N29" s="136"/>
      <c r="O29" s="389"/>
      <c r="P29" s="402"/>
      <c r="Q29" s="399"/>
      <c r="R29" s="126">
        <v>2</v>
      </c>
      <c r="S29" s="116" t="s">
        <v>228</v>
      </c>
      <c r="T29" s="127" t="str">
        <f t="shared" si="45"/>
        <v>Probabilidad</v>
      </c>
      <c r="U29" s="128" t="s">
        <v>14</v>
      </c>
      <c r="V29" s="128" t="s">
        <v>9</v>
      </c>
      <c r="W29" s="129" t="str">
        <f t="shared" si="46"/>
        <v>40%</v>
      </c>
      <c r="X29" s="128" t="s">
        <v>19</v>
      </c>
      <c r="Y29" s="128" t="s">
        <v>22</v>
      </c>
      <c r="Z29" s="128" t="s">
        <v>110</v>
      </c>
      <c r="AA29" s="130">
        <f>IFERROR(IF(T29="Probabilidad",(AA28-(+AA28*W29)),IF(T29="Impacto",L29,"")),"")</f>
        <v>0.28799999999999998</v>
      </c>
      <c r="AB29" s="131" t="str">
        <f t="shared" si="47"/>
        <v>Baja</v>
      </c>
      <c r="AC29" s="132">
        <f t="shared" si="48"/>
        <v>0.28799999999999998</v>
      </c>
      <c r="AD29" s="131" t="str">
        <f t="shared" si="49"/>
        <v>Mayor</v>
      </c>
      <c r="AE29" s="132">
        <v>0.8</v>
      </c>
      <c r="AF29" s="133" t="str">
        <f t="shared" si="51"/>
        <v>Alto</v>
      </c>
      <c r="AG29" s="134" t="s">
        <v>122</v>
      </c>
      <c r="AH29" s="116" t="s">
        <v>231</v>
      </c>
      <c r="AI29" s="141" t="s">
        <v>212</v>
      </c>
      <c r="AJ29" s="124">
        <v>44562</v>
      </c>
      <c r="AK29" s="124" t="s">
        <v>373</v>
      </c>
      <c r="AL29" s="116" t="s">
        <v>230</v>
      </c>
      <c r="AM29" s="95" t="s">
        <v>658</v>
      </c>
      <c r="AN29" s="95" t="s">
        <v>659</v>
      </c>
      <c r="AO29" s="218">
        <v>1</v>
      </c>
      <c r="AP29" s="95" t="s">
        <v>656</v>
      </c>
      <c r="AQ29" s="95" t="s">
        <v>660</v>
      </c>
      <c r="AR29" s="218">
        <v>1</v>
      </c>
      <c r="AS29" s="95"/>
      <c r="AT29" s="232" t="s">
        <v>629</v>
      </c>
      <c r="AU29" s="137" t="s">
        <v>630</v>
      </c>
      <c r="AV29" s="137" t="s">
        <v>630</v>
      </c>
      <c r="AW29" s="137" t="s">
        <v>630</v>
      </c>
      <c r="AX29" s="95"/>
    </row>
    <row r="30" spans="1:50" s="147" customFormat="1" ht="151.5" hidden="1" customHeight="1" x14ac:dyDescent="0.25">
      <c r="A30" s="410"/>
      <c r="B30" s="376"/>
      <c r="C30" s="407"/>
      <c r="D30" s="409"/>
      <c r="E30" s="394"/>
      <c r="F30" s="394"/>
      <c r="G30" s="394"/>
      <c r="H30" s="396"/>
      <c r="I30" s="394"/>
      <c r="J30" s="392"/>
      <c r="K30" s="390"/>
      <c r="L30" s="403"/>
      <c r="M30" s="405"/>
      <c r="N30" s="136"/>
      <c r="O30" s="390"/>
      <c r="P30" s="403"/>
      <c r="Q30" s="400"/>
      <c r="R30" s="126">
        <v>3</v>
      </c>
      <c r="S30" s="95"/>
      <c r="T30" s="127" t="str">
        <f t="shared" si="45"/>
        <v/>
      </c>
      <c r="U30" s="128"/>
      <c r="V30" s="128"/>
      <c r="W30" s="129"/>
      <c r="X30" s="128"/>
      <c r="Y30" s="128"/>
      <c r="Z30" s="128"/>
      <c r="AA30" s="130" t="str">
        <f>IFERROR(IF(T30="Probabilidad",(AA29-(+AA29*W30)),IF(T30="Impacto",L30,"")),"")</f>
        <v/>
      </c>
      <c r="AB30" s="131" t="str">
        <f t="shared" si="47"/>
        <v/>
      </c>
      <c r="AC30" s="132" t="str">
        <f t="shared" si="48"/>
        <v/>
      </c>
      <c r="AD30" s="131" t="str">
        <f t="shared" si="49"/>
        <v/>
      </c>
      <c r="AE30" s="132" t="str">
        <f t="shared" si="50"/>
        <v/>
      </c>
      <c r="AF30" s="133" t="str">
        <f t="shared" si="51"/>
        <v/>
      </c>
      <c r="AG30" s="134"/>
      <c r="AH30" s="95"/>
      <c r="AI30" s="123"/>
      <c r="AJ30" s="135"/>
      <c r="AK30" s="135"/>
      <c r="AL30" s="95"/>
      <c r="AM30" s="95"/>
      <c r="AN30" s="95"/>
      <c r="AO30" s="137"/>
      <c r="AP30" s="95"/>
      <c r="AQ30" s="95" t="e">
        <v>#NAME?</v>
      </c>
      <c r="AR30" s="137"/>
      <c r="AS30" s="95"/>
      <c r="AT30" s="232" t="s">
        <v>629</v>
      </c>
      <c r="AU30" s="137" t="s">
        <v>630</v>
      </c>
      <c r="AV30" s="137" t="s">
        <v>630</v>
      </c>
      <c r="AW30" s="137" t="s">
        <v>630</v>
      </c>
      <c r="AX30" s="95"/>
    </row>
    <row r="31" spans="1:50" s="147" customFormat="1" ht="304.5" customHeight="1" x14ac:dyDescent="0.25">
      <c r="A31" s="410">
        <v>9</v>
      </c>
      <c r="B31" s="374" t="s">
        <v>224</v>
      </c>
      <c r="C31" s="406" t="s">
        <v>219</v>
      </c>
      <c r="D31" s="406" t="s">
        <v>220</v>
      </c>
      <c r="E31" s="393" t="s">
        <v>120</v>
      </c>
      <c r="F31" s="393" t="s">
        <v>511</v>
      </c>
      <c r="G31" s="393" t="s">
        <v>232</v>
      </c>
      <c r="H31" s="395" t="s">
        <v>233</v>
      </c>
      <c r="I31" s="393" t="s">
        <v>328</v>
      </c>
      <c r="J31" s="391">
        <v>1460</v>
      </c>
      <c r="K31" s="388" t="str">
        <f>IF(J31&lt;=0,"",IF(J31&lt;=2,"Muy Baja",IF(J31&lt;=24,"Baja",IF(J31&lt;=500,"Media",IF(J31&lt;=5000,"Alta","Muy Alta")))))</f>
        <v>Alta</v>
      </c>
      <c r="L31" s="401">
        <f>IF(K31="","",IF(K31="Muy Baja",0.2,IF(K31="Baja",0.4,IF(K31="Media",0.6,IF(K31="Alta",0.8,IF(K31="Muy Alta",1,))))))</f>
        <v>0.8</v>
      </c>
      <c r="M31" s="404" t="s">
        <v>486</v>
      </c>
      <c r="N31" s="125" t="str">
        <f>IF(NOT(ISERROR(MATCH(M31,'Tabla Impacto'!$B$221:$B$223,0))),'Tabla Impacto'!$F$223&amp;"Por favor no seleccionar los criterios de impacto(Afectación Económica o presupuestal y Pérdida Reputacional)",M31)</f>
        <v xml:space="preserve"> El riesgo afecta la imagen de la entidad con algunos usuarios de relevancia frente al logro de los objetivos</v>
      </c>
      <c r="O31" s="388" t="str">
        <f>IF(OR(N31='Tabla Impacto'!$C$11,N31='Tabla Impacto'!$D$11),"Leve",IF(OR(N31='Tabla Impacto'!$C$12,N31='Tabla Impacto'!$D$12),"Menor",IF(OR(N31='Tabla Impacto'!$C$13,N31='Tabla Impacto'!$D$13),"Moderado",IF(OR(N31='Tabla Impacto'!$C$14,N31='Tabla Impacto'!$D$14),"Mayor",IF(OR(N31='Tabla Impacto'!$C$15,N31='Tabla Impacto'!$D$15),"Catastrófico","")))))</f>
        <v>Moderado</v>
      </c>
      <c r="P31" s="401">
        <f>IF(O31="","",IF(O31="Leve",0.2,IF(O31="Menor",0.4,IF(O31="Moderado",0.6,IF(O31="Mayor",0.8,IF(O31="Catastrófico",1,))))))</f>
        <v>0.6</v>
      </c>
      <c r="Q31" s="398" t="str">
        <f>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26">
        <v>1</v>
      </c>
      <c r="S31" s="95" t="s">
        <v>227</v>
      </c>
      <c r="T31" s="127" t="str">
        <f t="shared" si="45"/>
        <v>Probabilidad</v>
      </c>
      <c r="U31" s="128" t="s">
        <v>14</v>
      </c>
      <c r="V31" s="128" t="s">
        <v>9</v>
      </c>
      <c r="W31" s="129" t="str">
        <f t="shared" si="46"/>
        <v>40%</v>
      </c>
      <c r="X31" s="128" t="s">
        <v>19</v>
      </c>
      <c r="Y31" s="128" t="s">
        <v>23</v>
      </c>
      <c r="Z31" s="128" t="s">
        <v>110</v>
      </c>
      <c r="AA31" s="130">
        <f t="shared" si="52"/>
        <v>0.48</v>
      </c>
      <c r="AB31" s="131" t="str">
        <f t="shared" si="47"/>
        <v>Media</v>
      </c>
      <c r="AC31" s="132">
        <f t="shared" si="48"/>
        <v>0.48</v>
      </c>
      <c r="AD31" s="131" t="str">
        <f t="shared" si="49"/>
        <v>Moderado</v>
      </c>
      <c r="AE31" s="132">
        <f t="shared" si="50"/>
        <v>0.6</v>
      </c>
      <c r="AF31" s="133" t="str">
        <f t="shared" si="51"/>
        <v>Moderado</v>
      </c>
      <c r="AG31" s="134" t="s">
        <v>122</v>
      </c>
      <c r="AH31" s="116" t="s">
        <v>236</v>
      </c>
      <c r="AI31" s="141" t="s">
        <v>212</v>
      </c>
      <c r="AJ31" s="124">
        <v>44562</v>
      </c>
      <c r="AK31" s="124" t="s">
        <v>373</v>
      </c>
      <c r="AL31" s="116" t="s">
        <v>235</v>
      </c>
      <c r="AM31" s="95" t="s">
        <v>661</v>
      </c>
      <c r="AN31" s="146" t="s">
        <v>655</v>
      </c>
      <c r="AO31" s="218">
        <v>1</v>
      </c>
      <c r="AP31" s="95" t="s">
        <v>662</v>
      </c>
      <c r="AQ31" s="95" t="s">
        <v>663</v>
      </c>
      <c r="AR31" s="218">
        <v>1</v>
      </c>
      <c r="AS31" s="95"/>
      <c r="AT31" s="232" t="s">
        <v>629</v>
      </c>
      <c r="AU31" s="137" t="s">
        <v>630</v>
      </c>
      <c r="AV31" s="137" t="s">
        <v>630</v>
      </c>
      <c r="AW31" s="137" t="s">
        <v>630</v>
      </c>
      <c r="AX31" s="95"/>
    </row>
    <row r="32" spans="1:50" s="147" customFormat="1" ht="151.5" customHeight="1" x14ac:dyDescent="0.25">
      <c r="A32" s="410"/>
      <c r="B32" s="375"/>
      <c r="C32" s="407"/>
      <c r="D32" s="409"/>
      <c r="E32" s="394"/>
      <c r="F32" s="394"/>
      <c r="G32" s="394"/>
      <c r="H32" s="396"/>
      <c r="I32" s="394"/>
      <c r="J32" s="392"/>
      <c r="K32" s="389"/>
      <c r="L32" s="402"/>
      <c r="M32" s="405"/>
      <c r="N32" s="136"/>
      <c r="O32" s="389"/>
      <c r="P32" s="402"/>
      <c r="Q32" s="399"/>
      <c r="R32" s="126">
        <v>2</v>
      </c>
      <c r="S32" s="95" t="s">
        <v>228</v>
      </c>
      <c r="T32" s="127" t="str">
        <f t="shared" si="45"/>
        <v>Probabilidad</v>
      </c>
      <c r="U32" s="128" t="s">
        <v>14</v>
      </c>
      <c r="V32" s="128" t="s">
        <v>9</v>
      </c>
      <c r="W32" s="129" t="str">
        <f t="shared" si="46"/>
        <v>40%</v>
      </c>
      <c r="X32" s="128" t="s">
        <v>19</v>
      </c>
      <c r="Y32" s="128" t="s">
        <v>23</v>
      </c>
      <c r="Z32" s="128" t="s">
        <v>111</v>
      </c>
      <c r="AA32" s="130">
        <f>IFERROR(IF(T32="Probabilidad",(AA31-(+AA31*W32)),IF(T32="Impacto",L32,"")),"")</f>
        <v>0.28799999999999998</v>
      </c>
      <c r="AB32" s="131" t="str">
        <f t="shared" si="47"/>
        <v>Baja</v>
      </c>
      <c r="AC32" s="132">
        <f t="shared" si="48"/>
        <v>0.28799999999999998</v>
      </c>
      <c r="AD32" s="131" t="str">
        <f t="shared" si="49"/>
        <v>Moderado</v>
      </c>
      <c r="AE32" s="132">
        <v>0.6</v>
      </c>
      <c r="AF32" s="133" t="str">
        <f t="shared" si="51"/>
        <v>Moderado</v>
      </c>
      <c r="AG32" s="134" t="s">
        <v>122</v>
      </c>
      <c r="AH32" s="116" t="s">
        <v>236</v>
      </c>
      <c r="AI32" s="141" t="s">
        <v>212</v>
      </c>
      <c r="AJ32" s="124">
        <v>44562</v>
      </c>
      <c r="AK32" s="124" t="s">
        <v>373</v>
      </c>
      <c r="AL32" s="116" t="s">
        <v>235</v>
      </c>
      <c r="AM32" s="95" t="s">
        <v>658</v>
      </c>
      <c r="AN32" s="146" t="s">
        <v>664</v>
      </c>
      <c r="AO32" s="218">
        <v>1</v>
      </c>
      <c r="AP32" s="95" t="s">
        <v>662</v>
      </c>
      <c r="AQ32" s="95" t="s">
        <v>663</v>
      </c>
      <c r="AR32" s="218">
        <v>1</v>
      </c>
      <c r="AS32" s="95"/>
      <c r="AT32" s="232" t="s">
        <v>629</v>
      </c>
      <c r="AU32" s="137" t="s">
        <v>630</v>
      </c>
      <c r="AV32" s="137" t="s">
        <v>630</v>
      </c>
      <c r="AW32" s="137" t="s">
        <v>630</v>
      </c>
      <c r="AX32" s="95"/>
    </row>
    <row r="33" spans="1:51" s="147" customFormat="1" ht="151.5" customHeight="1" x14ac:dyDescent="0.25">
      <c r="A33" s="410"/>
      <c r="B33" s="376"/>
      <c r="C33" s="407"/>
      <c r="D33" s="409"/>
      <c r="E33" s="394"/>
      <c r="F33" s="394"/>
      <c r="G33" s="394"/>
      <c r="H33" s="396"/>
      <c r="I33" s="394"/>
      <c r="J33" s="392"/>
      <c r="K33" s="390"/>
      <c r="L33" s="403"/>
      <c r="M33" s="405"/>
      <c r="N33" s="136"/>
      <c r="O33" s="390"/>
      <c r="P33" s="403"/>
      <c r="Q33" s="400"/>
      <c r="R33" s="126">
        <v>3</v>
      </c>
      <c r="S33" s="95" t="s">
        <v>234</v>
      </c>
      <c r="T33" s="127" t="str">
        <f t="shared" si="45"/>
        <v>Probabilidad</v>
      </c>
      <c r="U33" s="128" t="s">
        <v>15</v>
      </c>
      <c r="V33" s="128" t="s">
        <v>9</v>
      </c>
      <c r="W33" s="129" t="str">
        <f t="shared" si="46"/>
        <v>30%</v>
      </c>
      <c r="X33" s="128" t="s">
        <v>19</v>
      </c>
      <c r="Y33" s="128" t="s">
        <v>22</v>
      </c>
      <c r="Z33" s="128" t="s">
        <v>110</v>
      </c>
      <c r="AA33" s="130">
        <f>IFERROR(IF(T33="Probabilidad",(AA32-(+AA32*W33)),IF(T33="Impacto",L33,"")),"")</f>
        <v>0.2016</v>
      </c>
      <c r="AB33" s="131" t="str">
        <f t="shared" si="47"/>
        <v>Baja</v>
      </c>
      <c r="AC33" s="132">
        <f t="shared" si="48"/>
        <v>0.2016</v>
      </c>
      <c r="AD33" s="131" t="str">
        <f t="shared" si="49"/>
        <v>Moderado</v>
      </c>
      <c r="AE33" s="132">
        <v>0.6</v>
      </c>
      <c r="AF33" s="133" t="str">
        <f t="shared" si="51"/>
        <v>Moderado</v>
      </c>
      <c r="AG33" s="134" t="s">
        <v>122</v>
      </c>
      <c r="AH33" s="116" t="s">
        <v>236</v>
      </c>
      <c r="AI33" s="141" t="s">
        <v>212</v>
      </c>
      <c r="AJ33" s="124">
        <v>44562</v>
      </c>
      <c r="AK33" s="124" t="s">
        <v>373</v>
      </c>
      <c r="AL33" s="116" t="s">
        <v>235</v>
      </c>
      <c r="AM33" s="95" t="s">
        <v>665</v>
      </c>
      <c r="AN33" s="146" t="s">
        <v>666</v>
      </c>
      <c r="AO33" s="218">
        <v>1</v>
      </c>
      <c r="AP33" s="95" t="s">
        <v>662</v>
      </c>
      <c r="AQ33" s="95" t="s">
        <v>663</v>
      </c>
      <c r="AR33" s="218">
        <v>1</v>
      </c>
      <c r="AS33" s="95"/>
      <c r="AT33" s="232" t="s">
        <v>629</v>
      </c>
      <c r="AU33" s="137" t="s">
        <v>630</v>
      </c>
      <c r="AV33" s="137" t="s">
        <v>630</v>
      </c>
      <c r="AW33" s="137" t="s">
        <v>630</v>
      </c>
      <c r="AX33" s="95"/>
    </row>
    <row r="34" spans="1:51" s="147" customFormat="1" ht="285" customHeight="1" x14ac:dyDescent="0.25">
      <c r="A34" s="410">
        <v>10</v>
      </c>
      <c r="B34" s="374" t="s">
        <v>237</v>
      </c>
      <c r="C34" s="406" t="s">
        <v>355</v>
      </c>
      <c r="D34" s="406" t="s">
        <v>383</v>
      </c>
      <c r="E34" s="393" t="s">
        <v>118</v>
      </c>
      <c r="F34" s="397" t="s">
        <v>364</v>
      </c>
      <c r="G34" s="397" t="s">
        <v>365</v>
      </c>
      <c r="H34" s="395" t="s">
        <v>544</v>
      </c>
      <c r="I34" s="393" t="s">
        <v>115</v>
      </c>
      <c r="J34" s="391">
        <v>20</v>
      </c>
      <c r="K34" s="388" t="str">
        <f>IF(J34&lt;=0,"",IF(J34&lt;=2,"Muy Baja",IF(J34&lt;=24,"Baja",IF(J34&lt;=500,"Media",IF(J34&lt;=5000,"Alta","Muy Alta")))))</f>
        <v>Baja</v>
      </c>
      <c r="L34" s="401">
        <f>IF(K34="","",IF(K34="Muy Baja",0.2,IF(K34="Baja",0.4,IF(K34="Media",0.6,IF(K34="Alta",0.8,IF(K34="Muy Alta",1,))))))</f>
        <v>0.4</v>
      </c>
      <c r="M34" s="404" t="s">
        <v>493</v>
      </c>
      <c r="N34" s="125" t="str">
        <f>IF(NOT(ISERROR(MATCH(M34,'Tabla Impacto'!$B$221:$B$223,0))),'Tabla Impacto'!$F$223&amp;"Por favor no seleccionar los criterios de impacto(Afectación Económica o presupuestal y Pérdida Reputacional)",M34)</f>
        <v xml:space="preserve"> El riesgo afecta la imagen de la entidad con efecto publicitario sostenido a nivel de sector administrativo, nivel departamental o municipal</v>
      </c>
      <c r="O34" s="388" t="str">
        <f>IF(OR(N34='Tabla Impacto'!$C$11,N34='Tabla Impacto'!$D$11),"Leve",IF(OR(N34='Tabla Impacto'!$C$12,N34='Tabla Impacto'!$D$12),"Menor",IF(OR(N34='Tabla Impacto'!$C$13,N34='Tabla Impacto'!$D$13),"Moderado",IF(OR(N34='Tabla Impacto'!$C$14,N34='Tabla Impacto'!$D$14),"Mayor",IF(OR(N34='Tabla Impacto'!$C$15,N34='Tabla Impacto'!$D$15),"Catastrófico","")))))</f>
        <v>Mayor</v>
      </c>
      <c r="P34" s="401">
        <f>IF(O34="","",IF(O34="Leve",0.2,IF(O34="Menor",0.4,IF(O34="Moderado",0.6,IF(O34="Mayor",0.8,IF(O34="Catastrófico",1,))))))</f>
        <v>0.8</v>
      </c>
      <c r="Q34" s="398" t="str">
        <f>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Alto</v>
      </c>
      <c r="R34" s="126">
        <v>1</v>
      </c>
      <c r="S34" s="95" t="s">
        <v>581</v>
      </c>
      <c r="T34" s="127" t="str">
        <f t="shared" si="45"/>
        <v>Probabilidad</v>
      </c>
      <c r="U34" s="128" t="s">
        <v>14</v>
      </c>
      <c r="V34" s="128" t="s">
        <v>9</v>
      </c>
      <c r="W34" s="129" t="str">
        <f t="shared" si="46"/>
        <v>40%</v>
      </c>
      <c r="X34" s="128" t="s">
        <v>19</v>
      </c>
      <c r="Y34" s="128" t="s">
        <v>22</v>
      </c>
      <c r="Z34" s="128" t="s">
        <v>110</v>
      </c>
      <c r="AA34" s="130">
        <f t="shared" si="52"/>
        <v>0.24</v>
      </c>
      <c r="AB34" s="131" t="str">
        <f t="shared" si="47"/>
        <v>Baja</v>
      </c>
      <c r="AC34" s="132">
        <f t="shared" si="48"/>
        <v>0.24</v>
      </c>
      <c r="AD34" s="131" t="str">
        <f t="shared" si="49"/>
        <v>Mayor</v>
      </c>
      <c r="AE34" s="132">
        <f t="shared" si="50"/>
        <v>0.8</v>
      </c>
      <c r="AF34" s="133" t="str">
        <f t="shared" si="51"/>
        <v>Alto</v>
      </c>
      <c r="AG34" s="134" t="s">
        <v>122</v>
      </c>
      <c r="AH34" s="116" t="s">
        <v>582</v>
      </c>
      <c r="AI34" s="117" t="s">
        <v>198</v>
      </c>
      <c r="AJ34" s="124" t="s">
        <v>286</v>
      </c>
      <c r="AK34" s="124" t="s">
        <v>287</v>
      </c>
      <c r="AL34" s="95" t="s">
        <v>366</v>
      </c>
      <c r="AM34" s="224" t="s">
        <v>859</v>
      </c>
      <c r="AN34" s="225" t="s">
        <v>860</v>
      </c>
      <c r="AO34" s="218">
        <v>1</v>
      </c>
      <c r="AP34" s="224" t="s">
        <v>667</v>
      </c>
      <c r="AQ34" s="221" t="s">
        <v>668</v>
      </c>
      <c r="AR34" s="218">
        <v>0.9</v>
      </c>
      <c r="AS34" s="95"/>
      <c r="AT34" s="232" t="s">
        <v>629</v>
      </c>
      <c r="AU34" s="137" t="s">
        <v>630</v>
      </c>
      <c r="AV34" s="137" t="s">
        <v>630</v>
      </c>
      <c r="AW34" s="137" t="s">
        <v>630</v>
      </c>
      <c r="AX34" s="95" t="s">
        <v>866</v>
      </c>
    </row>
    <row r="35" spans="1:51" s="147" customFormat="1" ht="151.5" hidden="1" customHeight="1" x14ac:dyDescent="0.25">
      <c r="A35" s="410"/>
      <c r="B35" s="375"/>
      <c r="C35" s="409"/>
      <c r="D35" s="409"/>
      <c r="E35" s="394"/>
      <c r="F35" s="394"/>
      <c r="G35" s="394"/>
      <c r="H35" s="396"/>
      <c r="I35" s="394"/>
      <c r="J35" s="392"/>
      <c r="K35" s="389"/>
      <c r="L35" s="402"/>
      <c r="M35" s="405"/>
      <c r="N35" s="136"/>
      <c r="O35" s="389"/>
      <c r="P35" s="402"/>
      <c r="Q35" s="399"/>
      <c r="R35" s="126">
        <v>2</v>
      </c>
      <c r="S35" s="95"/>
      <c r="T35" s="127" t="str">
        <f t="shared" si="45"/>
        <v/>
      </c>
      <c r="U35" s="128"/>
      <c r="V35" s="128"/>
      <c r="W35" s="129"/>
      <c r="X35" s="128"/>
      <c r="Y35" s="128"/>
      <c r="Z35" s="128"/>
      <c r="AA35" s="130" t="str">
        <f>IFERROR(IF(T35="Probabilidad",(AA34-(+AA34*W35)),IF(T35="Impacto",L35,"")),"")</f>
        <v/>
      </c>
      <c r="AB35" s="131" t="str">
        <f t="shared" si="47"/>
        <v/>
      </c>
      <c r="AC35" s="132" t="str">
        <f t="shared" si="48"/>
        <v/>
      </c>
      <c r="AD35" s="131" t="str">
        <f t="shared" si="49"/>
        <v/>
      </c>
      <c r="AE35" s="132" t="str">
        <f t="shared" si="50"/>
        <v/>
      </c>
      <c r="AF35" s="133" t="str">
        <f t="shared" si="51"/>
        <v/>
      </c>
      <c r="AG35" s="134"/>
      <c r="AH35" s="95"/>
      <c r="AI35" s="123"/>
      <c r="AJ35" s="135"/>
      <c r="AK35" s="135"/>
      <c r="AL35" s="95"/>
      <c r="AM35" s="95"/>
      <c r="AN35" s="95"/>
      <c r="AO35" s="137"/>
      <c r="AP35" s="95"/>
      <c r="AQ35" s="95"/>
      <c r="AR35" s="137"/>
      <c r="AS35" s="95"/>
      <c r="AT35" s="232" t="s">
        <v>629</v>
      </c>
      <c r="AU35" s="137" t="s">
        <v>630</v>
      </c>
      <c r="AV35" s="137" t="s">
        <v>630</v>
      </c>
      <c r="AW35" s="137" t="s">
        <v>630</v>
      </c>
      <c r="AX35" s="95"/>
    </row>
    <row r="36" spans="1:51" s="147" customFormat="1" ht="151.5" hidden="1" customHeight="1" x14ac:dyDescent="0.25">
      <c r="A36" s="410"/>
      <c r="B36" s="376"/>
      <c r="C36" s="409"/>
      <c r="D36" s="409"/>
      <c r="E36" s="394"/>
      <c r="F36" s="394"/>
      <c r="G36" s="394"/>
      <c r="H36" s="396"/>
      <c r="I36" s="394"/>
      <c r="J36" s="392"/>
      <c r="K36" s="390"/>
      <c r="L36" s="403"/>
      <c r="M36" s="405"/>
      <c r="N36" s="136"/>
      <c r="O36" s="390"/>
      <c r="P36" s="403"/>
      <c r="Q36" s="400"/>
      <c r="R36" s="126">
        <v>3</v>
      </c>
      <c r="S36" s="95"/>
      <c r="T36" s="127" t="str">
        <f t="shared" si="45"/>
        <v/>
      </c>
      <c r="U36" s="128"/>
      <c r="V36" s="128"/>
      <c r="W36" s="129"/>
      <c r="X36" s="128"/>
      <c r="Y36" s="128"/>
      <c r="Z36" s="128"/>
      <c r="AA36" s="130" t="str">
        <f>IFERROR(IF(T36="Probabilidad",(AA35-(+AA35*W36)),IF(T36="Impacto",L36,"")),"")</f>
        <v/>
      </c>
      <c r="AB36" s="131" t="str">
        <f t="shared" si="47"/>
        <v/>
      </c>
      <c r="AC36" s="132" t="str">
        <f t="shared" si="48"/>
        <v/>
      </c>
      <c r="AD36" s="131" t="str">
        <f t="shared" si="49"/>
        <v/>
      </c>
      <c r="AE36" s="132" t="str">
        <f t="shared" si="50"/>
        <v/>
      </c>
      <c r="AF36" s="133" t="str">
        <f t="shared" si="51"/>
        <v/>
      </c>
      <c r="AG36" s="134"/>
      <c r="AH36" s="95"/>
      <c r="AI36" s="123"/>
      <c r="AJ36" s="135"/>
      <c r="AK36" s="135"/>
      <c r="AL36" s="95"/>
      <c r="AM36" s="95"/>
      <c r="AN36" s="95"/>
      <c r="AO36" s="137"/>
      <c r="AP36" s="95"/>
      <c r="AQ36" s="95"/>
      <c r="AR36" s="137"/>
      <c r="AS36" s="95"/>
      <c r="AT36" s="232" t="s">
        <v>629</v>
      </c>
      <c r="AU36" s="137" t="s">
        <v>630</v>
      </c>
      <c r="AV36" s="137" t="s">
        <v>630</v>
      </c>
      <c r="AW36" s="137" t="s">
        <v>630</v>
      </c>
      <c r="AX36" s="95"/>
    </row>
    <row r="37" spans="1:51" s="147" customFormat="1" ht="176.25" customHeight="1" x14ac:dyDescent="0.25">
      <c r="A37" s="410">
        <v>11</v>
      </c>
      <c r="B37" s="374" t="s">
        <v>237</v>
      </c>
      <c r="C37" s="406" t="s">
        <v>355</v>
      </c>
      <c r="D37" s="406" t="s">
        <v>383</v>
      </c>
      <c r="E37" s="393" t="s">
        <v>120</v>
      </c>
      <c r="F37" s="397" t="s">
        <v>367</v>
      </c>
      <c r="G37" s="397" t="s">
        <v>365</v>
      </c>
      <c r="H37" s="395" t="s">
        <v>238</v>
      </c>
      <c r="I37" s="393" t="s">
        <v>115</v>
      </c>
      <c r="J37" s="391">
        <v>20</v>
      </c>
      <c r="K37" s="388" t="str">
        <f>IF(J37&lt;=0,"",IF(J37&lt;=2,"Muy Baja",IF(J37&lt;=24,"Baja",IF(J37&lt;=500,"Media",IF(J37&lt;=5000,"Alta","Muy Alta")))))</f>
        <v>Baja</v>
      </c>
      <c r="L37" s="401">
        <f>IF(K37="","",IF(K37="Muy Baja",0.2,IF(K37="Baja",0.4,IF(K37="Media",0.6,IF(K37="Alta",0.8,IF(K37="Muy Alta",1,))))))</f>
        <v>0.4</v>
      </c>
      <c r="M37" s="404" t="s">
        <v>486</v>
      </c>
      <c r="N37" s="125" t="str">
        <f>IF(NOT(ISERROR(MATCH(M37,'Tabla Impacto'!$B$221:$B$223,0))),'Tabla Impacto'!$F$223&amp;"Por favor no seleccionar los criterios de impacto(Afectación Económica o presupuestal y Pérdida Reputacional)",M37)</f>
        <v xml:space="preserve"> El riesgo afecta la imagen de la entidad con algunos usuarios de relevancia frente al logro de los objetivos</v>
      </c>
      <c r="O37" s="388" t="str">
        <f>IF(OR(N37='Tabla Impacto'!$C$11,N37='Tabla Impacto'!$D$11),"Leve",IF(OR(N37='Tabla Impacto'!$C$12,N37='Tabla Impacto'!$D$12),"Menor",IF(OR(N37='Tabla Impacto'!$C$13,N37='Tabla Impacto'!$D$13),"Moderado",IF(OR(N37='Tabla Impacto'!$C$14,N37='Tabla Impacto'!$D$14),"Mayor",IF(OR(N37='Tabla Impacto'!$C$15,N37='Tabla Impacto'!$D$15),"Catastrófico","")))))</f>
        <v>Moderado</v>
      </c>
      <c r="P37" s="401">
        <f>IF(O37="","",IF(O37="Leve",0.2,IF(O37="Menor",0.4,IF(O37="Moderado",0.6,IF(O37="Mayor",0.8,IF(O37="Catastrófico",1,))))))</f>
        <v>0.6</v>
      </c>
      <c r="Q37" s="398" t="str">
        <f>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126">
        <v>1</v>
      </c>
      <c r="S37" s="95" t="s">
        <v>545</v>
      </c>
      <c r="T37" s="127" t="str">
        <f t="shared" si="45"/>
        <v>Probabilidad</v>
      </c>
      <c r="U37" s="128" t="s">
        <v>14</v>
      </c>
      <c r="V37" s="128" t="s">
        <v>9</v>
      </c>
      <c r="W37" s="129" t="str">
        <f t="shared" si="46"/>
        <v>40%</v>
      </c>
      <c r="X37" s="128" t="s">
        <v>19</v>
      </c>
      <c r="Y37" s="128" t="s">
        <v>22</v>
      </c>
      <c r="Z37" s="128" t="s">
        <v>110</v>
      </c>
      <c r="AA37" s="130">
        <f t="shared" si="52"/>
        <v>0.24</v>
      </c>
      <c r="AB37" s="131" t="str">
        <f t="shared" si="47"/>
        <v>Baja</v>
      </c>
      <c r="AC37" s="132">
        <f t="shared" si="48"/>
        <v>0.24</v>
      </c>
      <c r="AD37" s="131" t="str">
        <f t="shared" si="49"/>
        <v>Moderado</v>
      </c>
      <c r="AE37" s="132">
        <f t="shared" si="50"/>
        <v>0.6</v>
      </c>
      <c r="AF37" s="133" t="str">
        <f t="shared" si="51"/>
        <v>Moderado</v>
      </c>
      <c r="AG37" s="134" t="s">
        <v>122</v>
      </c>
      <c r="AH37" s="95" t="s">
        <v>368</v>
      </c>
      <c r="AI37" s="123" t="s">
        <v>239</v>
      </c>
      <c r="AJ37" s="124">
        <v>44562</v>
      </c>
      <c r="AK37" s="124" t="s">
        <v>373</v>
      </c>
      <c r="AL37" s="95" t="s">
        <v>366</v>
      </c>
      <c r="AM37" s="95" t="s">
        <v>669</v>
      </c>
      <c r="AN37" s="95" t="s">
        <v>861</v>
      </c>
      <c r="AO37" s="218">
        <v>1</v>
      </c>
      <c r="AP37" s="95" t="s">
        <v>670</v>
      </c>
      <c r="AQ37" s="95" t="s">
        <v>671</v>
      </c>
      <c r="AR37" s="218">
        <v>1</v>
      </c>
      <c r="AS37" s="95"/>
      <c r="AT37" s="232" t="s">
        <v>629</v>
      </c>
      <c r="AU37" s="137" t="s">
        <v>630</v>
      </c>
      <c r="AV37" s="137" t="s">
        <v>630</v>
      </c>
      <c r="AW37" s="137" t="s">
        <v>630</v>
      </c>
      <c r="AX37" s="95"/>
    </row>
    <row r="38" spans="1:51" s="147" customFormat="1" ht="151.5" hidden="1" customHeight="1" x14ac:dyDescent="0.25">
      <c r="A38" s="410"/>
      <c r="B38" s="375"/>
      <c r="C38" s="409"/>
      <c r="D38" s="409"/>
      <c r="E38" s="394"/>
      <c r="F38" s="394"/>
      <c r="G38" s="394"/>
      <c r="H38" s="396"/>
      <c r="I38" s="394"/>
      <c r="J38" s="392"/>
      <c r="K38" s="389"/>
      <c r="L38" s="402"/>
      <c r="M38" s="405"/>
      <c r="N38" s="136"/>
      <c r="O38" s="389"/>
      <c r="P38" s="402"/>
      <c r="Q38" s="399"/>
      <c r="R38" s="126">
        <v>2</v>
      </c>
      <c r="S38" s="95"/>
      <c r="T38" s="127" t="str">
        <f t="shared" si="45"/>
        <v/>
      </c>
      <c r="U38" s="128"/>
      <c r="V38" s="128"/>
      <c r="W38" s="129"/>
      <c r="X38" s="128"/>
      <c r="Y38" s="128"/>
      <c r="Z38" s="128"/>
      <c r="AA38" s="130" t="str">
        <f>IFERROR(IF(T38="Probabilidad",(AA37-(+AA37*W38)),IF(T38="Impacto",L38,"")),"")</f>
        <v/>
      </c>
      <c r="AB38" s="131" t="str">
        <f t="shared" si="47"/>
        <v/>
      </c>
      <c r="AC38" s="132" t="str">
        <f t="shared" si="48"/>
        <v/>
      </c>
      <c r="AD38" s="131" t="str">
        <f t="shared" si="49"/>
        <v/>
      </c>
      <c r="AE38" s="132" t="str">
        <f t="shared" si="50"/>
        <v/>
      </c>
      <c r="AF38" s="133" t="str">
        <f t="shared" si="51"/>
        <v/>
      </c>
      <c r="AG38" s="134"/>
      <c r="AH38" s="95"/>
      <c r="AI38" s="123"/>
      <c r="AJ38" s="135"/>
      <c r="AK38" s="135"/>
      <c r="AL38" s="95"/>
      <c r="AM38" s="95"/>
      <c r="AN38" s="95"/>
      <c r="AO38" s="137"/>
      <c r="AP38" s="95"/>
      <c r="AQ38" s="95"/>
      <c r="AR38" s="137"/>
      <c r="AS38" s="95"/>
      <c r="AT38" s="232" t="s">
        <v>629</v>
      </c>
      <c r="AU38" s="137" t="s">
        <v>630</v>
      </c>
      <c r="AV38" s="137" t="s">
        <v>630</v>
      </c>
      <c r="AW38" s="137" t="s">
        <v>630</v>
      </c>
      <c r="AX38" s="95"/>
    </row>
    <row r="39" spans="1:51" s="147" customFormat="1" ht="151.5" hidden="1" customHeight="1" x14ac:dyDescent="0.25">
      <c r="A39" s="412"/>
      <c r="B39" s="376"/>
      <c r="C39" s="409"/>
      <c r="D39" s="409"/>
      <c r="E39" s="394"/>
      <c r="F39" s="394"/>
      <c r="G39" s="394"/>
      <c r="H39" s="396"/>
      <c r="I39" s="394"/>
      <c r="J39" s="392"/>
      <c r="K39" s="390"/>
      <c r="L39" s="403"/>
      <c r="M39" s="405"/>
      <c r="N39" s="136"/>
      <c r="O39" s="390"/>
      <c r="P39" s="403"/>
      <c r="Q39" s="400"/>
      <c r="R39" s="126">
        <v>3</v>
      </c>
      <c r="S39" s="95"/>
      <c r="T39" s="127" t="str">
        <f t="shared" si="45"/>
        <v/>
      </c>
      <c r="U39" s="128"/>
      <c r="V39" s="128"/>
      <c r="W39" s="129"/>
      <c r="X39" s="128"/>
      <c r="Y39" s="128"/>
      <c r="Z39" s="128"/>
      <c r="AA39" s="130" t="str">
        <f>IFERROR(IF(T39="Probabilidad",(AA38-(+AA38*W39)),IF(T39="Impacto",L39,"")),"")</f>
        <v/>
      </c>
      <c r="AB39" s="131" t="str">
        <f t="shared" si="47"/>
        <v/>
      </c>
      <c r="AC39" s="132" t="str">
        <f t="shared" si="48"/>
        <v/>
      </c>
      <c r="AD39" s="131" t="str">
        <f t="shared" si="49"/>
        <v/>
      </c>
      <c r="AE39" s="132" t="str">
        <f t="shared" si="50"/>
        <v/>
      </c>
      <c r="AF39" s="133" t="str">
        <f t="shared" si="51"/>
        <v/>
      </c>
      <c r="AG39" s="134"/>
      <c r="AH39" s="95"/>
      <c r="AI39" s="123"/>
      <c r="AJ39" s="135"/>
      <c r="AK39" s="135"/>
      <c r="AL39" s="95"/>
      <c r="AM39" s="95"/>
      <c r="AN39" s="95"/>
      <c r="AO39" s="137"/>
      <c r="AP39" s="95"/>
      <c r="AQ39" s="95"/>
      <c r="AR39" s="137"/>
      <c r="AS39" s="95"/>
      <c r="AT39" s="232" t="s">
        <v>629</v>
      </c>
      <c r="AU39" s="137" t="s">
        <v>630</v>
      </c>
      <c r="AV39" s="137" t="s">
        <v>630</v>
      </c>
      <c r="AW39" s="137" t="s">
        <v>630</v>
      </c>
      <c r="AX39" s="95"/>
    </row>
    <row r="40" spans="1:51" s="147" customFormat="1" ht="183.75" customHeight="1" x14ac:dyDescent="0.25">
      <c r="A40" s="411">
        <v>12</v>
      </c>
      <c r="B40" s="374" t="s">
        <v>237</v>
      </c>
      <c r="C40" s="406" t="s">
        <v>355</v>
      </c>
      <c r="D40" s="406" t="s">
        <v>383</v>
      </c>
      <c r="E40" s="393" t="s">
        <v>120</v>
      </c>
      <c r="F40" s="394" t="s">
        <v>440</v>
      </c>
      <c r="G40" s="394" t="s">
        <v>441</v>
      </c>
      <c r="H40" s="395" t="s">
        <v>442</v>
      </c>
      <c r="I40" s="393" t="s">
        <v>328</v>
      </c>
      <c r="J40" s="391">
        <v>2</v>
      </c>
      <c r="K40" s="388" t="str">
        <f>IF(J40&lt;=0,"",IF(J40&lt;=2,"Muy Baja",IF(J40&lt;=24,"Baja",IF(J40&lt;=500,"Media",IF(J40&lt;=5000,"Alta","Muy Alta")))))</f>
        <v>Muy Baja</v>
      </c>
      <c r="L40" s="401">
        <f>IF(K40="","",IF(K40="Muy Baja",0.2,IF(K40="Baja",0.4,IF(K40="Media",0.6,IF(K40="Alta",0.8,IF(K40="Muy Alta",1,))))))</f>
        <v>0.2</v>
      </c>
      <c r="M40" s="404" t="s">
        <v>486</v>
      </c>
      <c r="N40" s="125" t="str">
        <f>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388" t="str">
        <f>IF(OR(N40='Tabla Impacto'!$C$11,N40='Tabla Impacto'!$D$11),"Leve",IF(OR(N40='Tabla Impacto'!$C$12,N40='Tabla Impacto'!$D$12),"Menor",IF(OR(N40='Tabla Impacto'!$C$13,N40='Tabla Impacto'!$D$13),"Moderado",IF(OR(N40='Tabla Impacto'!$C$14,N40='Tabla Impacto'!$D$14),"Mayor",IF(OR(N40='Tabla Impacto'!$C$15,N40='Tabla Impacto'!$D$15),"Catastrófico","")))))</f>
        <v>Moderado</v>
      </c>
      <c r="P40" s="401">
        <f>IF(O40="","",IF(O40="Leve",0.2,IF(O40="Menor",0.4,IF(O40="Moderado",0.6,IF(O40="Mayor",0.8,IF(O40="Catastrófico",1,))))))</f>
        <v>0.6</v>
      </c>
      <c r="Q40" s="398" t="str">
        <f>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26">
        <v>1</v>
      </c>
      <c r="S40" s="95" t="s">
        <v>369</v>
      </c>
      <c r="T40" s="127" t="str">
        <f t="shared" si="45"/>
        <v>Probabilidad</v>
      </c>
      <c r="U40" s="128" t="s">
        <v>14</v>
      </c>
      <c r="V40" s="128" t="s">
        <v>9</v>
      </c>
      <c r="W40" s="129" t="str">
        <f t="shared" si="46"/>
        <v>40%</v>
      </c>
      <c r="X40" s="128" t="s">
        <v>19</v>
      </c>
      <c r="Y40" s="128" t="s">
        <v>22</v>
      </c>
      <c r="Z40" s="128" t="s">
        <v>110</v>
      </c>
      <c r="AA40" s="130">
        <f t="shared" si="52"/>
        <v>0.12</v>
      </c>
      <c r="AB40" s="131" t="str">
        <f t="shared" si="47"/>
        <v>Muy Baja</v>
      </c>
      <c r="AC40" s="132">
        <f t="shared" si="48"/>
        <v>0.12</v>
      </c>
      <c r="AD40" s="131" t="str">
        <f t="shared" si="49"/>
        <v>Moderado</v>
      </c>
      <c r="AE40" s="132">
        <f t="shared" si="50"/>
        <v>0.6</v>
      </c>
      <c r="AF40" s="133" t="str">
        <f t="shared" si="51"/>
        <v>Moderado</v>
      </c>
      <c r="AG40" s="134" t="s">
        <v>122</v>
      </c>
      <c r="AH40" s="95" t="s">
        <v>370</v>
      </c>
      <c r="AI40" s="123" t="s">
        <v>239</v>
      </c>
      <c r="AJ40" s="124">
        <v>44562</v>
      </c>
      <c r="AK40" s="124" t="s">
        <v>373</v>
      </c>
      <c r="AL40" s="95" t="s">
        <v>371</v>
      </c>
      <c r="AM40" s="95" t="s">
        <v>672</v>
      </c>
      <c r="AN40" s="95" t="s">
        <v>673</v>
      </c>
      <c r="AO40" s="218">
        <v>1</v>
      </c>
      <c r="AP40" s="95" t="s">
        <v>674</v>
      </c>
      <c r="AQ40" s="95" t="s">
        <v>675</v>
      </c>
      <c r="AR40" s="218">
        <v>1</v>
      </c>
      <c r="AS40" s="95"/>
      <c r="AT40" s="232" t="s">
        <v>629</v>
      </c>
      <c r="AU40" s="137" t="s">
        <v>630</v>
      </c>
      <c r="AV40" s="137" t="s">
        <v>630</v>
      </c>
      <c r="AW40" s="137" t="s">
        <v>630</v>
      </c>
      <c r="AX40" s="95"/>
    </row>
    <row r="41" spans="1:51" s="147" customFormat="1" ht="151.5" hidden="1" customHeight="1" x14ac:dyDescent="0.25">
      <c r="A41" s="410"/>
      <c r="B41" s="375"/>
      <c r="C41" s="409"/>
      <c r="D41" s="409"/>
      <c r="E41" s="394"/>
      <c r="F41" s="394" t="s">
        <v>240</v>
      </c>
      <c r="G41" s="394" t="s">
        <v>241</v>
      </c>
      <c r="H41" s="396"/>
      <c r="I41" s="394"/>
      <c r="J41" s="392"/>
      <c r="K41" s="389"/>
      <c r="L41" s="402"/>
      <c r="M41" s="405"/>
      <c r="N41" s="136"/>
      <c r="O41" s="389"/>
      <c r="P41" s="402"/>
      <c r="Q41" s="399"/>
      <c r="R41" s="126">
        <v>2</v>
      </c>
      <c r="S41" s="95"/>
      <c r="T41" s="127" t="str">
        <f t="shared" si="45"/>
        <v/>
      </c>
      <c r="U41" s="128"/>
      <c r="V41" s="128"/>
      <c r="W41" s="129"/>
      <c r="X41" s="128"/>
      <c r="Y41" s="128"/>
      <c r="Z41" s="128"/>
      <c r="AA41" s="130"/>
      <c r="AB41" s="131"/>
      <c r="AC41" s="132"/>
      <c r="AD41" s="131"/>
      <c r="AE41" s="132"/>
      <c r="AF41" s="133"/>
      <c r="AG41" s="134"/>
      <c r="AH41" s="95"/>
      <c r="AI41" s="123"/>
      <c r="AJ41" s="135"/>
      <c r="AK41" s="135"/>
      <c r="AL41" s="95"/>
      <c r="AM41" s="95"/>
      <c r="AN41" s="95"/>
      <c r="AO41" s="137"/>
      <c r="AP41" s="95"/>
      <c r="AQ41" s="95"/>
      <c r="AR41" s="137"/>
      <c r="AS41" s="95"/>
      <c r="AT41" s="232" t="s">
        <v>629</v>
      </c>
      <c r="AU41" s="137" t="s">
        <v>630</v>
      </c>
      <c r="AV41" s="137" t="s">
        <v>630</v>
      </c>
      <c r="AW41" s="137" t="s">
        <v>630</v>
      </c>
      <c r="AX41" s="95"/>
    </row>
    <row r="42" spans="1:51" s="147" customFormat="1" ht="151.5" hidden="1" customHeight="1" x14ac:dyDescent="0.25">
      <c r="A42" s="410"/>
      <c r="B42" s="376"/>
      <c r="C42" s="409"/>
      <c r="D42" s="409"/>
      <c r="E42" s="394"/>
      <c r="F42" s="394" t="s">
        <v>240</v>
      </c>
      <c r="G42" s="394" t="s">
        <v>241</v>
      </c>
      <c r="H42" s="396"/>
      <c r="I42" s="394"/>
      <c r="J42" s="392"/>
      <c r="K42" s="390"/>
      <c r="L42" s="403"/>
      <c r="M42" s="405"/>
      <c r="N42" s="136"/>
      <c r="O42" s="390"/>
      <c r="P42" s="403"/>
      <c r="Q42" s="400"/>
      <c r="R42" s="126">
        <v>3</v>
      </c>
      <c r="S42" s="95"/>
      <c r="T42" s="127" t="str">
        <f t="shared" si="45"/>
        <v/>
      </c>
      <c r="U42" s="128"/>
      <c r="V42" s="128"/>
      <c r="W42" s="129"/>
      <c r="X42" s="128"/>
      <c r="Y42" s="128"/>
      <c r="Z42" s="128"/>
      <c r="AA42" s="130"/>
      <c r="AB42" s="131"/>
      <c r="AC42" s="132"/>
      <c r="AD42" s="131"/>
      <c r="AE42" s="132"/>
      <c r="AF42" s="133"/>
      <c r="AG42" s="134"/>
      <c r="AH42" s="95"/>
      <c r="AI42" s="123"/>
      <c r="AJ42" s="135"/>
      <c r="AK42" s="135"/>
      <c r="AL42" s="95"/>
      <c r="AM42" s="95"/>
      <c r="AN42" s="95"/>
      <c r="AO42" s="137"/>
      <c r="AP42" s="95"/>
      <c r="AQ42" s="95"/>
      <c r="AR42" s="137"/>
      <c r="AS42" s="95"/>
      <c r="AT42" s="232" t="s">
        <v>629</v>
      </c>
      <c r="AU42" s="137" t="s">
        <v>630</v>
      </c>
      <c r="AV42" s="137" t="s">
        <v>630</v>
      </c>
      <c r="AW42" s="137" t="s">
        <v>630</v>
      </c>
      <c r="AX42" s="95"/>
    </row>
    <row r="43" spans="1:51" s="147" customFormat="1" ht="151.5" customHeight="1" x14ac:dyDescent="0.25">
      <c r="A43" s="410">
        <v>13</v>
      </c>
      <c r="B43" s="374" t="s">
        <v>242</v>
      </c>
      <c r="C43" s="406" t="s">
        <v>385</v>
      </c>
      <c r="D43" s="406" t="s">
        <v>249</v>
      </c>
      <c r="E43" s="393" t="s">
        <v>120</v>
      </c>
      <c r="F43" s="397" t="s">
        <v>243</v>
      </c>
      <c r="G43" s="397" t="s">
        <v>244</v>
      </c>
      <c r="H43" s="395" t="s">
        <v>384</v>
      </c>
      <c r="I43" s="393" t="s">
        <v>328</v>
      </c>
      <c r="J43" s="391">
        <v>12</v>
      </c>
      <c r="K43" s="388" t="str">
        <f>IF(J43&lt;=0,"",IF(J43&lt;=2,"Muy Baja",IF(J43&lt;=24,"Baja",IF(J43&lt;=500,"Media",IF(J43&lt;=5000,"Alta","Muy Alta")))))</f>
        <v>Baja</v>
      </c>
      <c r="L43" s="401">
        <f>IF(K43="","",IF(K43="Muy Baja",0.2,IF(K43="Baja",0.4,IF(K43="Media",0.6,IF(K43="Alta",0.8,IF(K43="Muy Alta",1,))))))</f>
        <v>0.4</v>
      </c>
      <c r="M43" s="404" t="s">
        <v>486</v>
      </c>
      <c r="N43" s="125" t="str">
        <f>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388" t="str">
        <f>IF(OR(N43='Tabla Impacto'!$C$11,N43='Tabla Impacto'!$D$11),"Leve",IF(OR(N43='Tabla Impacto'!$C$12,N43='Tabla Impacto'!$D$12),"Menor",IF(OR(N43='Tabla Impacto'!$C$13,N43='Tabla Impacto'!$D$13),"Moderado",IF(OR(N43='Tabla Impacto'!$C$14,N43='Tabla Impacto'!$D$14),"Mayor",IF(OR(N43='Tabla Impacto'!$C$15,N43='Tabla Impacto'!$D$15),"Catastrófico","")))))</f>
        <v>Moderado</v>
      </c>
      <c r="P43" s="401">
        <f>IF(O43="","",IF(O43="Leve",0.2,IF(O43="Menor",0.4,IF(O43="Moderado",0.6,IF(O43="Mayor",0.8,IF(O43="Catastrófico",1,))))))</f>
        <v>0.6</v>
      </c>
      <c r="Q43" s="398" t="str">
        <f>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Moderado</v>
      </c>
      <c r="R43" s="126">
        <v>1</v>
      </c>
      <c r="S43" s="237" t="s">
        <v>245</v>
      </c>
      <c r="T43" s="245" t="str">
        <f t="shared" si="45"/>
        <v>Probabilidad</v>
      </c>
      <c r="U43" s="246" t="s">
        <v>14</v>
      </c>
      <c r="V43" s="246" t="s">
        <v>9</v>
      </c>
      <c r="W43" s="247" t="str">
        <f t="shared" si="46"/>
        <v>40%</v>
      </c>
      <c r="X43" s="246" t="s">
        <v>19</v>
      </c>
      <c r="Y43" s="246" t="s">
        <v>22</v>
      </c>
      <c r="Z43" s="246" t="s">
        <v>110</v>
      </c>
      <c r="AA43" s="140">
        <f t="shared" si="52"/>
        <v>0.24</v>
      </c>
      <c r="AB43" s="248" t="str">
        <f t="shared" si="47"/>
        <v>Baja</v>
      </c>
      <c r="AC43" s="249">
        <f t="shared" si="48"/>
        <v>0.24</v>
      </c>
      <c r="AD43" s="248" t="str">
        <f t="shared" si="49"/>
        <v>Moderado</v>
      </c>
      <c r="AE43" s="249">
        <f t="shared" si="50"/>
        <v>0.6</v>
      </c>
      <c r="AF43" s="250" t="str">
        <f t="shared" si="51"/>
        <v>Moderado</v>
      </c>
      <c r="AG43" s="251" t="s">
        <v>122</v>
      </c>
      <c r="AH43" s="237" t="s">
        <v>246</v>
      </c>
      <c r="AI43" s="255" t="s">
        <v>203</v>
      </c>
      <c r="AJ43" s="236">
        <v>44562</v>
      </c>
      <c r="AK43" s="236">
        <v>44926</v>
      </c>
      <c r="AL43" s="237" t="s">
        <v>247</v>
      </c>
      <c r="AM43" s="237" t="s">
        <v>775</v>
      </c>
      <c r="AN43" s="237" t="s">
        <v>776</v>
      </c>
      <c r="AO43" s="239">
        <v>1</v>
      </c>
      <c r="AP43" s="237" t="s">
        <v>777</v>
      </c>
      <c r="AQ43" s="237" t="s">
        <v>778</v>
      </c>
      <c r="AR43" s="239">
        <v>0.66</v>
      </c>
      <c r="AS43" s="237"/>
      <c r="AT43" s="241" t="s">
        <v>629</v>
      </c>
      <c r="AU43" s="235" t="s">
        <v>630</v>
      </c>
      <c r="AV43" s="235" t="s">
        <v>630</v>
      </c>
      <c r="AW43" s="235" t="s">
        <v>630</v>
      </c>
      <c r="AX43" s="237" t="s">
        <v>862</v>
      </c>
    </row>
    <row r="44" spans="1:51" s="147" customFormat="1" ht="151.5" customHeight="1" x14ac:dyDescent="0.25">
      <c r="A44" s="410"/>
      <c r="B44" s="375"/>
      <c r="C44" s="409"/>
      <c r="D44" s="407"/>
      <c r="E44" s="394"/>
      <c r="F44" s="394"/>
      <c r="G44" s="394"/>
      <c r="H44" s="396"/>
      <c r="I44" s="394"/>
      <c r="J44" s="392"/>
      <c r="K44" s="389"/>
      <c r="L44" s="402"/>
      <c r="M44" s="405"/>
      <c r="N44" s="136"/>
      <c r="O44" s="389"/>
      <c r="P44" s="402"/>
      <c r="Q44" s="399"/>
      <c r="R44" s="126">
        <v>2</v>
      </c>
      <c r="S44" s="95" t="s">
        <v>205</v>
      </c>
      <c r="T44" s="127" t="str">
        <f t="shared" si="45"/>
        <v>Probabilidad</v>
      </c>
      <c r="U44" s="128" t="s">
        <v>14</v>
      </c>
      <c r="V44" s="128" t="s">
        <v>9</v>
      </c>
      <c r="W44" s="129" t="str">
        <f t="shared" si="46"/>
        <v>40%</v>
      </c>
      <c r="X44" s="128" t="s">
        <v>19</v>
      </c>
      <c r="Y44" s="128" t="s">
        <v>22</v>
      </c>
      <c r="Z44" s="128" t="s">
        <v>110</v>
      </c>
      <c r="AA44" s="142">
        <f>IFERROR(IF(T44="Probabilidad",(AA43-(+AA43*W44)),IF(T44="Impacto",L44,"")),"")</f>
        <v>0.14399999999999999</v>
      </c>
      <c r="AB44" s="131" t="str">
        <f t="shared" si="47"/>
        <v>Muy Baja</v>
      </c>
      <c r="AC44" s="132">
        <f t="shared" si="48"/>
        <v>0.14399999999999999</v>
      </c>
      <c r="AD44" s="131" t="str">
        <f t="shared" si="49"/>
        <v>Moderado</v>
      </c>
      <c r="AE44" s="132">
        <v>0.6</v>
      </c>
      <c r="AF44" s="133" t="str">
        <f t="shared" si="51"/>
        <v>Moderado</v>
      </c>
      <c r="AG44" s="134" t="s">
        <v>122</v>
      </c>
      <c r="AH44" s="95" t="s">
        <v>248</v>
      </c>
      <c r="AI44" s="123" t="s">
        <v>203</v>
      </c>
      <c r="AJ44" s="135">
        <v>44562</v>
      </c>
      <c r="AK44" s="135">
        <v>44926</v>
      </c>
      <c r="AL44" s="95" t="s">
        <v>247</v>
      </c>
      <c r="AM44" s="95" t="s">
        <v>775</v>
      </c>
      <c r="AN44" s="237" t="s">
        <v>776</v>
      </c>
      <c r="AO44" s="239">
        <v>1</v>
      </c>
      <c r="AP44" s="237" t="s">
        <v>777</v>
      </c>
      <c r="AQ44" s="237" t="s">
        <v>778</v>
      </c>
      <c r="AR44" s="239">
        <v>0.66</v>
      </c>
      <c r="AS44" s="237"/>
      <c r="AT44" s="241" t="s">
        <v>629</v>
      </c>
      <c r="AU44" s="235" t="s">
        <v>630</v>
      </c>
      <c r="AV44" s="235" t="s">
        <v>630</v>
      </c>
      <c r="AW44" s="235" t="s">
        <v>630</v>
      </c>
      <c r="AX44" s="237" t="s">
        <v>862</v>
      </c>
      <c r="AY44" s="240"/>
    </row>
    <row r="45" spans="1:51" s="147" customFormat="1" ht="151.5" hidden="1" customHeight="1" x14ac:dyDescent="0.25">
      <c r="A45" s="410"/>
      <c r="B45" s="376"/>
      <c r="C45" s="409"/>
      <c r="D45" s="407"/>
      <c r="E45" s="394"/>
      <c r="F45" s="394"/>
      <c r="G45" s="394"/>
      <c r="H45" s="396"/>
      <c r="I45" s="394"/>
      <c r="J45" s="392"/>
      <c r="K45" s="390"/>
      <c r="L45" s="403"/>
      <c r="M45" s="405"/>
      <c r="N45" s="136"/>
      <c r="O45" s="390"/>
      <c r="P45" s="403"/>
      <c r="Q45" s="400"/>
      <c r="R45" s="126">
        <v>3</v>
      </c>
      <c r="S45" s="95"/>
      <c r="T45" s="127" t="str">
        <f t="shared" si="45"/>
        <v/>
      </c>
      <c r="U45" s="128"/>
      <c r="V45" s="128"/>
      <c r="W45" s="129"/>
      <c r="X45" s="128"/>
      <c r="Y45" s="128"/>
      <c r="Z45" s="128"/>
      <c r="AA45" s="130" t="str">
        <f>IFERROR(IF(T45="Probabilidad",(AA44-(+AA44*W45)),IF(T45="Impacto",L45,"")),"")</f>
        <v/>
      </c>
      <c r="AB45" s="131" t="str">
        <f t="shared" si="47"/>
        <v/>
      </c>
      <c r="AC45" s="132" t="str">
        <f t="shared" si="48"/>
        <v/>
      </c>
      <c r="AD45" s="131" t="str">
        <f t="shared" si="49"/>
        <v/>
      </c>
      <c r="AE45" s="132" t="str">
        <f t="shared" si="50"/>
        <v/>
      </c>
      <c r="AF45" s="133" t="str">
        <f t="shared" si="51"/>
        <v/>
      </c>
      <c r="AG45" s="134"/>
      <c r="AH45" s="95"/>
      <c r="AI45" s="123"/>
      <c r="AJ45" s="135"/>
      <c r="AK45" s="135"/>
      <c r="AL45" s="95"/>
      <c r="AM45" s="95"/>
      <c r="AN45" s="95"/>
      <c r="AO45" s="137"/>
      <c r="AP45" s="95"/>
      <c r="AQ45" s="95"/>
      <c r="AR45" s="137"/>
      <c r="AS45" s="95"/>
      <c r="AT45" s="232" t="s">
        <v>629</v>
      </c>
      <c r="AU45" s="137" t="s">
        <v>630</v>
      </c>
      <c r="AV45" s="137" t="s">
        <v>630</v>
      </c>
      <c r="AW45" s="137" t="s">
        <v>630</v>
      </c>
      <c r="AX45" s="95"/>
    </row>
    <row r="46" spans="1:51" s="147" customFormat="1" ht="151.5" customHeight="1" x14ac:dyDescent="0.25">
      <c r="A46" s="410">
        <v>14</v>
      </c>
      <c r="B46" s="374" t="s">
        <v>242</v>
      </c>
      <c r="C46" s="406" t="s">
        <v>385</v>
      </c>
      <c r="D46" s="406" t="s">
        <v>249</v>
      </c>
      <c r="E46" s="393" t="s">
        <v>120</v>
      </c>
      <c r="F46" s="393" t="s">
        <v>250</v>
      </c>
      <c r="G46" s="397" t="s">
        <v>251</v>
      </c>
      <c r="H46" s="395" t="s">
        <v>252</v>
      </c>
      <c r="I46" s="393" t="s">
        <v>328</v>
      </c>
      <c r="J46" s="391">
        <v>900</v>
      </c>
      <c r="K46" s="388" t="str">
        <f>IF(J46&lt;=0,"",IF(J46&lt;=2,"Muy Baja",IF(J46&lt;=24,"Baja",IF(J46&lt;=500,"Media",IF(J46&lt;=5000,"Alta","Muy Alta")))))</f>
        <v>Alta</v>
      </c>
      <c r="L46" s="401">
        <f>IF(K46="","",IF(K46="Muy Baja",0.2,IF(K46="Baja",0.4,IF(K46="Media",0.6,IF(K46="Alta",0.8,IF(K46="Muy Alta",1,))))))</f>
        <v>0.8</v>
      </c>
      <c r="M46" s="404" t="s">
        <v>486</v>
      </c>
      <c r="N46" s="125" t="str">
        <f>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388" t="str">
        <f>IF(OR(N46='Tabla Impacto'!$C$11,N46='Tabla Impacto'!$D$11),"Leve",IF(OR(N46='Tabla Impacto'!$C$12,N46='Tabla Impacto'!$D$12),"Menor",IF(OR(N46='Tabla Impacto'!$C$13,N46='Tabla Impacto'!$D$13),"Moderado",IF(OR(N46='Tabla Impacto'!$C$14,N46='Tabla Impacto'!$D$14),"Mayor",IF(OR(N46='Tabla Impacto'!$C$15,N46='Tabla Impacto'!$D$15),"Catastrófico","")))))</f>
        <v>Moderado</v>
      </c>
      <c r="P46" s="401">
        <f>IF(O46="","",IF(O46="Leve",0.2,IF(O46="Menor",0.4,IF(O46="Moderado",0.6,IF(O46="Mayor",0.8,IF(O46="Catastrófico",1,))))))</f>
        <v>0.6</v>
      </c>
      <c r="Q46" s="398" t="str">
        <f>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Alto</v>
      </c>
      <c r="R46" s="126">
        <v>1</v>
      </c>
      <c r="S46" s="95" t="s">
        <v>253</v>
      </c>
      <c r="T46" s="127" t="str">
        <f t="shared" ref="T46:T48" si="53">IF(OR(U46="Preventivo",U46="Detectivo"),"Probabilidad",IF(U46="Correctivo","Impacto",""))</f>
        <v>Probabilidad</v>
      </c>
      <c r="U46" s="128" t="s">
        <v>14</v>
      </c>
      <c r="V46" s="128" t="s">
        <v>9</v>
      </c>
      <c r="W46" s="129" t="str">
        <f t="shared" ref="W46" si="54">IF(AND(U46="Preventivo",V46="Automático"),"50%",IF(AND(U46="Preventivo",V46="Manual"),"40%",IF(AND(U46="Detectivo",V46="Automático"),"40%",IF(AND(U46="Detectivo",V46="Manual"),"30%",IF(AND(U46="Correctivo",V46="Automático"),"35%",IF(AND(U46="Correctivo",V46="Manual"),"25%",""))))))</f>
        <v>40%</v>
      </c>
      <c r="X46" s="128" t="s">
        <v>19</v>
      </c>
      <c r="Y46" s="128" t="s">
        <v>22</v>
      </c>
      <c r="Z46" s="128" t="s">
        <v>110</v>
      </c>
      <c r="AA46" s="130">
        <f t="shared" ref="AA46" si="55">IFERROR(IF(T46="Probabilidad",(L46-(+L46*W46)),IF(T46="Impacto",L46,"")),"")</f>
        <v>0.48</v>
      </c>
      <c r="AB46" s="131" t="str">
        <f t="shared" ref="AB46:AB48" si="56">IFERROR(IF(AA46="","",IF(AA46&lt;=0.2,"Muy Baja",IF(AA46&lt;=0.4,"Baja",IF(AA46&lt;=0.6,"Media",IF(AA46&lt;=0.8,"Alta","Muy Alta"))))),"")</f>
        <v>Media</v>
      </c>
      <c r="AC46" s="132">
        <f t="shared" ref="AC46:AC48" si="57">+AA46</f>
        <v>0.48</v>
      </c>
      <c r="AD46" s="131" t="str">
        <f t="shared" ref="AD46:AD48" si="58">IFERROR(IF(AE46="","",IF(AE46&lt;=0.2,"Leve",IF(AE46&lt;=0.4,"Menor",IF(AE46&lt;=0.6,"Moderado",IF(AE46&lt;=0.8,"Mayor","Catastrófico"))))),"")</f>
        <v>Moderado</v>
      </c>
      <c r="AE46" s="132">
        <f t="shared" ref="AE46:AE48" si="59">IFERROR(IF(T46="Impacto",(P46-(+P46*W46)),IF(T46="Probabilidad",P46,"")),"")</f>
        <v>0.6</v>
      </c>
      <c r="AF46" s="133" t="str">
        <f t="shared" ref="AF46:AF48" si="60">IFERROR(IF(OR(AND(AB46="Muy Baja",AD46="Leve"),AND(AB46="Muy Baja",AD46="Menor"),AND(AB46="Baja",AD46="Leve")),"Bajo",IF(OR(AND(AB46="Muy baja",AD46="Moderado"),AND(AB46="Baja",AD46="Menor"),AND(AB46="Baja",AD46="Moderado"),AND(AB46="Media",AD46="Leve"),AND(AB46="Media",AD46="Menor"),AND(AB46="Media",AD46="Moderado"),AND(AB46="Alta",AD46="Leve"),AND(AB46="Alta",AD46="Menor")),"Moderado",IF(OR(AND(AB46="Muy Baja",AD46="Mayor"),AND(AB46="Baja",AD46="Mayor"),AND(AB46="Media",AD46="Mayor"),AND(AB46="Alta",AD46="Moderado"),AND(AB46="Alta",AD46="Mayor"),AND(AB46="Muy Alta",AD46="Leve"),AND(AB46="Muy Alta",AD46="Menor"),AND(AB46="Muy Alta",AD46="Moderado"),AND(AB46="Muy Alta",AD46="Mayor")),"Alto",IF(OR(AND(AB46="Muy Baja",AD46="Catastrófico"),AND(AB46="Baja",AD46="Catastrófico"),AND(AB46="Media",AD46="Catastrófico"),AND(AB46="Alta",AD46="Catastrófico"),AND(AB46="Muy Alta",AD46="Catastrófico")),"Extremo","")))),"")</f>
        <v>Moderado</v>
      </c>
      <c r="AG46" s="134" t="s">
        <v>122</v>
      </c>
      <c r="AH46" s="95" t="s">
        <v>254</v>
      </c>
      <c r="AI46" s="123" t="s">
        <v>203</v>
      </c>
      <c r="AJ46" s="135">
        <v>44562</v>
      </c>
      <c r="AK46" s="135">
        <v>44926</v>
      </c>
      <c r="AL46" s="95" t="s">
        <v>255</v>
      </c>
      <c r="AM46" s="95" t="s">
        <v>779</v>
      </c>
      <c r="AN46" s="95" t="s">
        <v>780</v>
      </c>
      <c r="AO46" s="218">
        <v>1</v>
      </c>
      <c r="AP46" s="216" t="s">
        <v>781</v>
      </c>
      <c r="AQ46" s="216" t="s">
        <v>782</v>
      </c>
      <c r="AR46" s="218">
        <v>1</v>
      </c>
      <c r="AS46" s="95"/>
      <c r="AT46" s="232" t="s">
        <v>629</v>
      </c>
      <c r="AU46" s="137" t="s">
        <v>630</v>
      </c>
      <c r="AV46" s="137" t="s">
        <v>630</v>
      </c>
      <c r="AW46" s="137" t="s">
        <v>630</v>
      </c>
      <c r="AX46" s="95"/>
    </row>
    <row r="47" spans="1:51" s="147" customFormat="1" ht="151.5" hidden="1" customHeight="1" x14ac:dyDescent="0.25">
      <c r="A47" s="410"/>
      <c r="B47" s="375"/>
      <c r="C47" s="409"/>
      <c r="D47" s="407"/>
      <c r="E47" s="394"/>
      <c r="F47" s="394"/>
      <c r="G47" s="394"/>
      <c r="H47" s="396"/>
      <c r="I47" s="394"/>
      <c r="J47" s="392"/>
      <c r="K47" s="389"/>
      <c r="L47" s="402"/>
      <c r="M47" s="405"/>
      <c r="N47" s="136"/>
      <c r="O47" s="389"/>
      <c r="P47" s="402"/>
      <c r="Q47" s="399"/>
      <c r="R47" s="126">
        <v>2</v>
      </c>
      <c r="S47" s="95"/>
      <c r="T47" s="127" t="str">
        <f t="shared" si="53"/>
        <v/>
      </c>
      <c r="U47" s="128"/>
      <c r="V47" s="128"/>
      <c r="W47" s="129"/>
      <c r="X47" s="128"/>
      <c r="Y47" s="128"/>
      <c r="Z47" s="128"/>
      <c r="AA47" s="130" t="str">
        <f>IFERROR(IF(T47="Probabilidad",(AA46-(+AA46*W47)),IF(T47="Impacto",L47,"")),"")</f>
        <v/>
      </c>
      <c r="AB47" s="131" t="str">
        <f t="shared" si="56"/>
        <v/>
      </c>
      <c r="AC47" s="132" t="str">
        <f t="shared" si="57"/>
        <v/>
      </c>
      <c r="AD47" s="131" t="str">
        <f t="shared" si="58"/>
        <v/>
      </c>
      <c r="AE47" s="132" t="str">
        <f t="shared" si="59"/>
        <v/>
      </c>
      <c r="AF47" s="133" t="str">
        <f t="shared" si="60"/>
        <v/>
      </c>
      <c r="AG47" s="134"/>
      <c r="AH47" s="95"/>
      <c r="AI47" s="123"/>
      <c r="AJ47" s="135"/>
      <c r="AK47" s="135"/>
      <c r="AL47" s="95"/>
      <c r="AM47" s="95"/>
      <c r="AN47" s="95"/>
      <c r="AO47" s="137"/>
      <c r="AP47" s="95"/>
      <c r="AQ47" s="95"/>
      <c r="AR47" s="137"/>
      <c r="AS47" s="95"/>
      <c r="AT47" s="95"/>
      <c r="AU47" s="137" t="s">
        <v>630</v>
      </c>
      <c r="AV47" s="137" t="s">
        <v>630</v>
      </c>
      <c r="AW47" s="137" t="s">
        <v>630</v>
      </c>
      <c r="AX47" s="95"/>
    </row>
    <row r="48" spans="1:51" s="147" customFormat="1" ht="151.5" hidden="1" customHeight="1" x14ac:dyDescent="0.25">
      <c r="A48" s="410"/>
      <c r="B48" s="376"/>
      <c r="C48" s="409"/>
      <c r="D48" s="407"/>
      <c r="E48" s="394"/>
      <c r="F48" s="394"/>
      <c r="G48" s="394"/>
      <c r="H48" s="396"/>
      <c r="I48" s="394"/>
      <c r="J48" s="392"/>
      <c r="K48" s="390"/>
      <c r="L48" s="403"/>
      <c r="M48" s="405"/>
      <c r="N48" s="136"/>
      <c r="O48" s="390"/>
      <c r="P48" s="403"/>
      <c r="Q48" s="400"/>
      <c r="R48" s="126">
        <v>3</v>
      </c>
      <c r="S48" s="95"/>
      <c r="T48" s="127" t="str">
        <f t="shared" si="53"/>
        <v/>
      </c>
      <c r="U48" s="128"/>
      <c r="V48" s="128"/>
      <c r="W48" s="129"/>
      <c r="X48" s="128"/>
      <c r="Y48" s="128"/>
      <c r="Z48" s="128"/>
      <c r="AA48" s="130" t="str">
        <f>IFERROR(IF(T48="Probabilidad",(AA47-(+AA47*W48)),IF(T48="Impacto",L48,"")),"")</f>
        <v/>
      </c>
      <c r="AB48" s="131" t="str">
        <f t="shared" si="56"/>
        <v/>
      </c>
      <c r="AC48" s="132" t="str">
        <f t="shared" si="57"/>
        <v/>
      </c>
      <c r="AD48" s="131" t="str">
        <f t="shared" si="58"/>
        <v/>
      </c>
      <c r="AE48" s="132" t="str">
        <f t="shared" si="59"/>
        <v/>
      </c>
      <c r="AF48" s="133" t="str">
        <f t="shared" si="60"/>
        <v/>
      </c>
      <c r="AG48" s="134"/>
      <c r="AH48" s="95"/>
      <c r="AI48" s="123"/>
      <c r="AJ48" s="135"/>
      <c r="AK48" s="135"/>
      <c r="AL48" s="95"/>
      <c r="AM48" s="95"/>
      <c r="AN48" s="95"/>
      <c r="AO48" s="137"/>
      <c r="AP48" s="95"/>
      <c r="AQ48" s="95"/>
      <c r="AR48" s="137"/>
      <c r="AS48" s="95"/>
      <c r="AT48" s="95"/>
      <c r="AU48" s="137" t="s">
        <v>630</v>
      </c>
      <c r="AV48" s="137" t="s">
        <v>630</v>
      </c>
      <c r="AW48" s="137" t="s">
        <v>630</v>
      </c>
      <c r="AX48" s="95"/>
    </row>
    <row r="49" spans="1:50" s="147" customFormat="1" ht="151.5" customHeight="1" x14ac:dyDescent="0.25">
      <c r="A49" s="410">
        <v>15</v>
      </c>
      <c r="B49" s="374" t="s">
        <v>242</v>
      </c>
      <c r="C49" s="406" t="s">
        <v>385</v>
      </c>
      <c r="D49" s="406" t="s">
        <v>249</v>
      </c>
      <c r="E49" s="393" t="s">
        <v>118</v>
      </c>
      <c r="F49" s="393" t="s">
        <v>256</v>
      </c>
      <c r="G49" s="393" t="s">
        <v>257</v>
      </c>
      <c r="H49" s="395" t="s">
        <v>549</v>
      </c>
      <c r="I49" s="393" t="s">
        <v>115</v>
      </c>
      <c r="J49" s="391">
        <v>40</v>
      </c>
      <c r="K49" s="388" t="str">
        <f>IF(J49&lt;=0,"",IF(J49&lt;=2,"Muy Baja",IF(J49&lt;=24,"Baja",IF(J49&lt;=500,"Media",IF(J49&lt;=5000,"Alta","Muy Alta")))))</f>
        <v>Media</v>
      </c>
      <c r="L49" s="401">
        <f>IF(K49="","",IF(K49="Muy Baja",0.2,IF(K49="Baja",0.4,IF(K49="Media",0.6,IF(K49="Alta",0.8,IF(K49="Muy Alta",1,))))))</f>
        <v>0.6</v>
      </c>
      <c r="M49" s="404" t="s">
        <v>486</v>
      </c>
      <c r="N49" s="125" t="str">
        <f>IF(NOT(ISERROR(MATCH(M49,'Tabla Impacto'!$B$221:$B$223,0))),'Tabla Impacto'!$F$223&amp;"Por favor no seleccionar los criterios de impacto(Afectación Económica o presupuestal y Pérdida Reputacional)",M49)</f>
        <v xml:space="preserve"> El riesgo afecta la imagen de la entidad con algunos usuarios de relevancia frente al logro de los objetivos</v>
      </c>
      <c r="O49" s="388" t="str">
        <f>IF(OR(N49='Tabla Impacto'!$C$11,N49='Tabla Impacto'!$D$11),"Leve",IF(OR(N49='Tabla Impacto'!$C$12,N49='Tabla Impacto'!$D$12),"Menor",IF(OR(N49='Tabla Impacto'!$C$13,N49='Tabla Impacto'!$D$13),"Moderado",IF(OR(N49='Tabla Impacto'!$C$14,N49='Tabla Impacto'!$D$14),"Mayor",IF(OR(N49='Tabla Impacto'!$C$15,N49='Tabla Impacto'!$D$15),"Catastrófico","")))))</f>
        <v>Moderado</v>
      </c>
      <c r="P49" s="401">
        <f>IF(O49="","",IF(O49="Leve",0.2,IF(O49="Menor",0.4,IF(O49="Moderado",0.6,IF(O49="Mayor",0.8,IF(O49="Catastrófico",1,))))))</f>
        <v>0.6</v>
      </c>
      <c r="Q49" s="398" t="str">
        <f>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Moderado</v>
      </c>
      <c r="R49" s="126">
        <v>1</v>
      </c>
      <c r="S49" s="95" t="s">
        <v>550</v>
      </c>
      <c r="T49" s="127" t="str">
        <f t="shared" si="25"/>
        <v>Probabilidad</v>
      </c>
      <c r="U49" s="128" t="s">
        <v>14</v>
      </c>
      <c r="V49" s="128" t="s">
        <v>9</v>
      </c>
      <c r="W49" s="129" t="str">
        <f t="shared" si="26"/>
        <v>40%</v>
      </c>
      <c r="X49" s="128" t="s">
        <v>19</v>
      </c>
      <c r="Y49" s="128" t="s">
        <v>22</v>
      </c>
      <c r="Z49" s="128" t="s">
        <v>110</v>
      </c>
      <c r="AA49" s="130">
        <f t="shared" si="27"/>
        <v>0.36</v>
      </c>
      <c r="AB49" s="131" t="str">
        <f t="shared" si="28"/>
        <v>Baja</v>
      </c>
      <c r="AC49" s="132">
        <f t="shared" si="29"/>
        <v>0.36</v>
      </c>
      <c r="AD49" s="131" t="str">
        <f t="shared" si="30"/>
        <v>Moderado</v>
      </c>
      <c r="AE49" s="132">
        <f t="shared" si="31"/>
        <v>0.6</v>
      </c>
      <c r="AF49" s="133" t="str">
        <f t="shared" si="32"/>
        <v>Moderado</v>
      </c>
      <c r="AG49" s="134" t="s">
        <v>122</v>
      </c>
      <c r="AH49" s="122" t="s">
        <v>259</v>
      </c>
      <c r="AI49" s="123" t="s">
        <v>260</v>
      </c>
      <c r="AJ49" s="135">
        <v>44562</v>
      </c>
      <c r="AK49" s="135">
        <v>44926</v>
      </c>
      <c r="AL49" s="95" t="s">
        <v>255</v>
      </c>
      <c r="AM49" s="95" t="s">
        <v>783</v>
      </c>
      <c r="AN49" s="216" t="s">
        <v>784</v>
      </c>
      <c r="AO49" s="218">
        <v>1</v>
      </c>
      <c r="AP49" s="95" t="s">
        <v>785</v>
      </c>
      <c r="AQ49" s="95" t="s">
        <v>786</v>
      </c>
      <c r="AR49" s="218">
        <v>1</v>
      </c>
      <c r="AS49" s="95"/>
      <c r="AT49" s="232" t="s">
        <v>629</v>
      </c>
      <c r="AU49" s="137" t="s">
        <v>630</v>
      </c>
      <c r="AV49" s="137" t="s">
        <v>630</v>
      </c>
      <c r="AW49" s="137" t="s">
        <v>630</v>
      </c>
      <c r="AX49" s="95"/>
    </row>
    <row r="50" spans="1:50" s="147" customFormat="1" ht="151.5" hidden="1" customHeight="1" x14ac:dyDescent="0.25">
      <c r="A50" s="410"/>
      <c r="B50" s="375"/>
      <c r="C50" s="409"/>
      <c r="D50" s="407"/>
      <c r="E50" s="394"/>
      <c r="F50" s="394"/>
      <c r="G50" s="394"/>
      <c r="H50" s="396"/>
      <c r="I50" s="394"/>
      <c r="J50" s="392"/>
      <c r="K50" s="389"/>
      <c r="L50" s="402"/>
      <c r="M50" s="405"/>
      <c r="N50" s="136"/>
      <c r="O50" s="389"/>
      <c r="P50" s="402"/>
      <c r="Q50" s="399"/>
      <c r="R50" s="126">
        <v>2</v>
      </c>
      <c r="S50" s="95"/>
      <c r="T50" s="127" t="str">
        <f t="shared" ref="T50:T51" si="61">IF(OR(U50="Preventivo",U50="Detectivo"),"Probabilidad",IF(U50="Correctivo","Impacto",""))</f>
        <v/>
      </c>
      <c r="U50" s="128"/>
      <c r="V50" s="128"/>
      <c r="W50" s="129"/>
      <c r="X50" s="128"/>
      <c r="Y50" s="128"/>
      <c r="Z50" s="128"/>
      <c r="AA50" s="130" t="str">
        <f>IFERROR(IF(T50="Probabilidad",(AA49-(+AA49*W50)),IF(T50="Impacto",L50,"")),"")</f>
        <v/>
      </c>
      <c r="AB50" s="131" t="str">
        <f t="shared" ref="AB50:AB51" si="62">IFERROR(IF(AA50="","",IF(AA50&lt;=0.2,"Muy Baja",IF(AA50&lt;=0.4,"Baja",IF(AA50&lt;=0.6,"Media",IF(AA50&lt;=0.8,"Alta","Muy Alta"))))),"")</f>
        <v/>
      </c>
      <c r="AC50" s="132" t="str">
        <f t="shared" ref="AC50:AC51" si="63">+AA50</f>
        <v/>
      </c>
      <c r="AD50" s="131" t="str">
        <f t="shared" ref="AD50:AD51" si="64">IFERROR(IF(AE50="","",IF(AE50&lt;=0.2,"Leve",IF(AE50&lt;=0.4,"Menor",IF(AE50&lt;=0.6,"Moderado",IF(AE50&lt;=0.8,"Mayor","Catastrófico"))))),"")</f>
        <v/>
      </c>
      <c r="AE50" s="132" t="str">
        <f t="shared" ref="AE50:AE51" si="65">IFERROR(IF(T50="Impacto",(P50-(+P50*W50)),IF(T50="Probabilidad",P50,"")),"")</f>
        <v/>
      </c>
      <c r="AF50" s="133" t="str">
        <f t="shared" ref="AF50:AF51" si="66">IFERROR(IF(OR(AND(AB50="Muy Baja",AD50="Leve"),AND(AB50="Muy Baja",AD50="Menor"),AND(AB50="Baja",AD50="Leve")),"Bajo",IF(OR(AND(AB50="Muy baja",AD50="Moderado"),AND(AB50="Baja",AD50="Menor"),AND(AB50="Baja",AD50="Moderado"),AND(AB50="Media",AD50="Leve"),AND(AB50="Media",AD50="Menor"),AND(AB50="Media",AD50="Moderado"),AND(AB50="Alta",AD50="Leve"),AND(AB50="Alta",AD50="Menor")),"Moderado",IF(OR(AND(AB50="Muy Baja",AD50="Mayor"),AND(AB50="Baja",AD50="Mayor"),AND(AB50="Media",AD50="Mayor"),AND(AB50="Alta",AD50="Moderado"),AND(AB50="Alta",AD50="Mayor"),AND(AB50="Muy Alta",AD50="Leve"),AND(AB50="Muy Alta",AD50="Menor"),AND(AB50="Muy Alta",AD50="Moderado"),AND(AB50="Muy Alta",AD50="Mayor")),"Alto",IF(OR(AND(AB50="Muy Baja",AD50="Catastrófico"),AND(AB50="Baja",AD50="Catastrófico"),AND(AB50="Media",AD50="Catastrófico"),AND(AB50="Alta",AD50="Catastrófico"),AND(AB50="Muy Alta",AD50="Catastrófico")),"Extremo","")))),"")</f>
        <v/>
      </c>
      <c r="AG50" s="134"/>
      <c r="AH50" s="95"/>
      <c r="AI50" s="123"/>
      <c r="AJ50" s="135"/>
      <c r="AK50" s="135"/>
      <c r="AL50" s="95"/>
      <c r="AM50" s="95"/>
      <c r="AN50" s="95"/>
      <c r="AO50" s="137"/>
      <c r="AP50" s="95"/>
      <c r="AQ50" s="95"/>
      <c r="AR50" s="137"/>
      <c r="AS50" s="95"/>
      <c r="AT50" s="232" t="s">
        <v>629</v>
      </c>
      <c r="AU50" s="137" t="s">
        <v>630</v>
      </c>
      <c r="AV50" s="137" t="s">
        <v>630</v>
      </c>
      <c r="AW50" s="137" t="s">
        <v>630</v>
      </c>
      <c r="AX50" s="95"/>
    </row>
    <row r="51" spans="1:50" s="147" customFormat="1" ht="151.5" hidden="1" customHeight="1" x14ac:dyDescent="0.25">
      <c r="A51" s="410"/>
      <c r="B51" s="376"/>
      <c r="C51" s="409"/>
      <c r="D51" s="407"/>
      <c r="E51" s="394"/>
      <c r="F51" s="394"/>
      <c r="G51" s="394"/>
      <c r="H51" s="396"/>
      <c r="I51" s="394"/>
      <c r="J51" s="392"/>
      <c r="K51" s="390"/>
      <c r="L51" s="403"/>
      <c r="M51" s="405"/>
      <c r="N51" s="136"/>
      <c r="O51" s="390"/>
      <c r="P51" s="403"/>
      <c r="Q51" s="400"/>
      <c r="R51" s="126">
        <v>3</v>
      </c>
      <c r="S51" s="95"/>
      <c r="T51" s="127" t="str">
        <f t="shared" si="61"/>
        <v/>
      </c>
      <c r="U51" s="128"/>
      <c r="V51" s="128"/>
      <c r="W51" s="129"/>
      <c r="X51" s="128"/>
      <c r="Y51" s="128"/>
      <c r="Z51" s="128"/>
      <c r="AA51" s="130" t="str">
        <f>IFERROR(IF(T51="Probabilidad",(AA50-(+AA50*W51)),IF(T51="Impacto",L51,"")),"")</f>
        <v/>
      </c>
      <c r="AB51" s="131" t="str">
        <f t="shared" si="62"/>
        <v/>
      </c>
      <c r="AC51" s="132" t="str">
        <f t="shared" si="63"/>
        <v/>
      </c>
      <c r="AD51" s="131" t="str">
        <f t="shared" si="64"/>
        <v/>
      </c>
      <c r="AE51" s="132" t="str">
        <f t="shared" si="65"/>
        <v/>
      </c>
      <c r="AF51" s="133" t="str">
        <f t="shared" si="66"/>
        <v/>
      </c>
      <c r="AG51" s="134"/>
      <c r="AH51" s="95"/>
      <c r="AI51" s="123"/>
      <c r="AJ51" s="135"/>
      <c r="AK51" s="135"/>
      <c r="AL51" s="95"/>
      <c r="AM51" s="95"/>
      <c r="AN51" s="95"/>
      <c r="AO51" s="137"/>
      <c r="AP51" s="95"/>
      <c r="AQ51" s="95"/>
      <c r="AR51" s="137"/>
      <c r="AS51" s="95"/>
      <c r="AT51" s="232" t="s">
        <v>629</v>
      </c>
      <c r="AU51" s="137" t="s">
        <v>630</v>
      </c>
      <c r="AV51" s="137" t="s">
        <v>630</v>
      </c>
      <c r="AW51" s="137" t="s">
        <v>630</v>
      </c>
      <c r="AX51" s="95"/>
    </row>
    <row r="52" spans="1:50" s="147" customFormat="1" ht="151.5" customHeight="1" x14ac:dyDescent="0.25">
      <c r="A52" s="410">
        <v>16</v>
      </c>
      <c r="B52" s="374" t="s">
        <v>242</v>
      </c>
      <c r="C52" s="406" t="s">
        <v>385</v>
      </c>
      <c r="D52" s="406" t="s">
        <v>249</v>
      </c>
      <c r="E52" s="393" t="s">
        <v>120</v>
      </c>
      <c r="F52" s="393" t="s">
        <v>443</v>
      </c>
      <c r="G52" s="393" t="s">
        <v>262</v>
      </c>
      <c r="H52" s="395" t="s">
        <v>261</v>
      </c>
      <c r="I52" s="393" t="s">
        <v>328</v>
      </c>
      <c r="J52" s="391" t="s">
        <v>258</v>
      </c>
      <c r="K52" s="388" t="str">
        <f>IF(J52&lt;=0,"",IF(J52&lt;=2,"Muy Baja",IF(J52&lt;=24,"Baja",IF(J52&lt;=500,"Media",IF(J52&lt;=5000,"Alta","Muy Alta")))))</f>
        <v>Muy Alta</v>
      </c>
      <c r="L52" s="401">
        <f>IF(K52="","",IF(K52="Muy Baja",0.2,IF(K52="Baja",0.4,IF(K52="Media",0.6,IF(K52="Alta",0.8,IF(K52="Muy Alta",1,))))))</f>
        <v>1</v>
      </c>
      <c r="M52" s="404" t="s">
        <v>493</v>
      </c>
      <c r="N52" s="125" t="str">
        <f>IF(NOT(ISERROR(MATCH(M52,'Tabla Impacto'!$B$221:$B$223,0))),'Tabla Impacto'!$F$223&amp;"Por favor no seleccionar los criterios de impacto(Afectación Económica o presupuestal y Pérdida Reputacional)",M52)</f>
        <v xml:space="preserve"> El riesgo afecta la imagen de la entidad con efecto publicitario sostenido a nivel de sector administrativo, nivel departamental o municipal</v>
      </c>
      <c r="O52" s="388" t="str">
        <f>IF(OR(N52='Tabla Impacto'!$C$11,N52='Tabla Impacto'!$D$11),"Leve",IF(OR(N52='Tabla Impacto'!$C$12,N52='Tabla Impacto'!$D$12),"Menor",IF(OR(N52='Tabla Impacto'!$C$13,N52='Tabla Impacto'!$D$13),"Moderado",IF(OR(N52='Tabla Impacto'!$C$14,N52='Tabla Impacto'!$D$14),"Mayor",IF(OR(N52='Tabla Impacto'!$C$15,N52='Tabla Impacto'!$D$15),"Catastrófico","")))))</f>
        <v>Mayor</v>
      </c>
      <c r="P52" s="401">
        <f>IF(O52="","",IF(O52="Leve",0.2,IF(O52="Menor",0.4,IF(O52="Moderado",0.6,IF(O52="Mayor",0.8,IF(O52="Catastrófico",1,))))))</f>
        <v>0.8</v>
      </c>
      <c r="Q52" s="398" t="str">
        <f>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Alto</v>
      </c>
      <c r="R52" s="126">
        <v>1</v>
      </c>
      <c r="S52" s="95" t="s">
        <v>263</v>
      </c>
      <c r="T52" s="127" t="str">
        <f t="shared" ref="T52:T54" si="67">IF(OR(U52="Preventivo",U52="Detectivo"),"Probabilidad",IF(U52="Correctivo","Impacto",""))</f>
        <v>Probabilidad</v>
      </c>
      <c r="U52" s="128" t="s">
        <v>14</v>
      </c>
      <c r="V52" s="128" t="s">
        <v>9</v>
      </c>
      <c r="W52" s="129" t="str">
        <f t="shared" ref="W52" si="68">IF(AND(U52="Preventivo",V52="Automático"),"50%",IF(AND(U52="Preventivo",V52="Manual"),"40%",IF(AND(U52="Detectivo",V52="Automático"),"40%",IF(AND(U52="Detectivo",V52="Manual"),"30%",IF(AND(U52="Correctivo",V52="Automático"),"35%",IF(AND(U52="Correctivo",V52="Manual"),"25%",""))))))</f>
        <v>40%</v>
      </c>
      <c r="X52" s="128" t="s">
        <v>19</v>
      </c>
      <c r="Y52" s="128" t="s">
        <v>22</v>
      </c>
      <c r="Z52" s="128" t="s">
        <v>110</v>
      </c>
      <c r="AA52" s="130">
        <f t="shared" ref="AA52" si="69">IFERROR(IF(T52="Probabilidad",(L52-(+L52*W52)),IF(T52="Impacto",L52,"")),"")</f>
        <v>0.6</v>
      </c>
      <c r="AB52" s="131" t="str">
        <f t="shared" ref="AB52:AB54" si="70">IFERROR(IF(AA52="","",IF(AA52&lt;=0.2,"Muy Baja",IF(AA52&lt;=0.4,"Baja",IF(AA52&lt;=0.6,"Media",IF(AA52&lt;=0.8,"Alta","Muy Alta"))))),"")</f>
        <v>Media</v>
      </c>
      <c r="AC52" s="132">
        <f t="shared" ref="AC52:AC54" si="71">+AA52</f>
        <v>0.6</v>
      </c>
      <c r="AD52" s="131" t="str">
        <f t="shared" ref="AD52:AD54" si="72">IFERROR(IF(AE52="","",IF(AE52&lt;=0.2,"Leve",IF(AE52&lt;=0.4,"Menor",IF(AE52&lt;=0.6,"Moderado",IF(AE52&lt;=0.8,"Mayor","Catastrófico"))))),"")</f>
        <v>Mayor</v>
      </c>
      <c r="AE52" s="132">
        <f t="shared" ref="AE52:AE54" si="73">IFERROR(IF(T52="Impacto",(P52-(+P52*W52)),IF(T52="Probabilidad",P52,"")),"")</f>
        <v>0.8</v>
      </c>
      <c r="AF52" s="133" t="str">
        <f t="shared" ref="AF52:AF54" si="74">IFERROR(IF(OR(AND(AB52="Muy Baja",AD52="Leve"),AND(AB52="Muy Baja",AD52="Menor"),AND(AB52="Baja",AD52="Leve")),"Bajo",IF(OR(AND(AB52="Muy baja",AD52="Moderado"),AND(AB52="Baja",AD52="Menor"),AND(AB52="Baja",AD52="Moderado"),AND(AB52="Media",AD52="Leve"),AND(AB52="Media",AD52="Menor"),AND(AB52="Media",AD52="Moderado"),AND(AB52="Alta",AD52="Leve"),AND(AB52="Alta",AD52="Menor")),"Moderado",IF(OR(AND(AB52="Muy Baja",AD52="Mayor"),AND(AB52="Baja",AD52="Mayor"),AND(AB52="Media",AD52="Mayor"),AND(AB52="Alta",AD52="Moderado"),AND(AB52="Alta",AD52="Mayor"),AND(AB52="Muy Alta",AD52="Leve"),AND(AB52="Muy Alta",AD52="Menor"),AND(AB52="Muy Alta",AD52="Moderado"),AND(AB52="Muy Alta",AD52="Mayor")),"Alto",IF(OR(AND(AB52="Muy Baja",AD52="Catastrófico"),AND(AB52="Baja",AD52="Catastrófico"),AND(AB52="Media",AD52="Catastrófico"),AND(AB52="Alta",AD52="Catastrófico"),AND(AB52="Muy Alta",AD52="Catastrófico")),"Extremo","")))),"")</f>
        <v>Alto</v>
      </c>
      <c r="AG52" s="134" t="s">
        <v>122</v>
      </c>
      <c r="AH52" s="95" t="s">
        <v>521</v>
      </c>
      <c r="AI52" s="123" t="s">
        <v>203</v>
      </c>
      <c r="AJ52" s="135">
        <v>44562</v>
      </c>
      <c r="AK52" s="135">
        <v>44926</v>
      </c>
      <c r="AL52" s="122" t="s">
        <v>264</v>
      </c>
      <c r="AM52" s="216" t="s">
        <v>787</v>
      </c>
      <c r="AN52" s="216" t="s">
        <v>788</v>
      </c>
      <c r="AO52" s="218">
        <v>1</v>
      </c>
      <c r="AP52" s="95" t="s">
        <v>789</v>
      </c>
      <c r="AQ52" s="95" t="s">
        <v>790</v>
      </c>
      <c r="AR52" s="218">
        <v>1</v>
      </c>
      <c r="AS52" s="95"/>
      <c r="AT52" s="232" t="s">
        <v>629</v>
      </c>
      <c r="AU52" s="137" t="s">
        <v>630</v>
      </c>
      <c r="AV52" s="137" t="s">
        <v>630</v>
      </c>
      <c r="AW52" s="137" t="s">
        <v>630</v>
      </c>
      <c r="AX52" s="95"/>
    </row>
    <row r="53" spans="1:50" s="147" customFormat="1" ht="151.5" hidden="1" customHeight="1" x14ac:dyDescent="0.25">
      <c r="A53" s="410"/>
      <c r="B53" s="375"/>
      <c r="C53" s="409"/>
      <c r="D53" s="407"/>
      <c r="E53" s="394"/>
      <c r="F53" s="394"/>
      <c r="G53" s="394"/>
      <c r="H53" s="396"/>
      <c r="I53" s="394"/>
      <c r="J53" s="392"/>
      <c r="K53" s="389"/>
      <c r="L53" s="402"/>
      <c r="M53" s="405"/>
      <c r="N53" s="136"/>
      <c r="O53" s="389"/>
      <c r="P53" s="402"/>
      <c r="Q53" s="399"/>
      <c r="R53" s="126">
        <v>2</v>
      </c>
      <c r="S53" s="95"/>
      <c r="T53" s="127" t="str">
        <f t="shared" si="67"/>
        <v/>
      </c>
      <c r="U53" s="128"/>
      <c r="V53" s="128"/>
      <c r="W53" s="129"/>
      <c r="X53" s="128"/>
      <c r="Y53" s="128"/>
      <c r="Z53" s="128"/>
      <c r="AA53" s="130" t="str">
        <f>IFERROR(IF(T53="Probabilidad",(AA52-(+AA52*W53)),IF(T53="Impacto",L53,"")),"")</f>
        <v/>
      </c>
      <c r="AB53" s="131" t="str">
        <f t="shared" si="70"/>
        <v/>
      </c>
      <c r="AC53" s="132" t="str">
        <f t="shared" si="71"/>
        <v/>
      </c>
      <c r="AD53" s="131" t="str">
        <f t="shared" si="72"/>
        <v/>
      </c>
      <c r="AE53" s="132" t="str">
        <f t="shared" si="73"/>
        <v/>
      </c>
      <c r="AF53" s="133" t="str">
        <f t="shared" si="74"/>
        <v/>
      </c>
      <c r="AG53" s="134"/>
      <c r="AH53" s="95"/>
      <c r="AI53" s="123"/>
      <c r="AJ53" s="135"/>
      <c r="AK53" s="135"/>
      <c r="AL53" s="95"/>
      <c r="AM53" s="95"/>
      <c r="AN53" s="95"/>
      <c r="AO53" s="137"/>
      <c r="AP53" s="95"/>
      <c r="AQ53" s="95"/>
      <c r="AR53" s="137"/>
      <c r="AS53" s="95"/>
      <c r="AT53" s="232" t="s">
        <v>629</v>
      </c>
      <c r="AU53" s="137" t="s">
        <v>630</v>
      </c>
      <c r="AV53" s="137" t="s">
        <v>630</v>
      </c>
      <c r="AW53" s="137" t="s">
        <v>630</v>
      </c>
      <c r="AX53" s="95"/>
    </row>
    <row r="54" spans="1:50" s="147" customFormat="1" ht="151.5" hidden="1" customHeight="1" x14ac:dyDescent="0.25">
      <c r="A54" s="412"/>
      <c r="B54" s="376"/>
      <c r="C54" s="409"/>
      <c r="D54" s="407"/>
      <c r="E54" s="394"/>
      <c r="F54" s="394"/>
      <c r="G54" s="394"/>
      <c r="H54" s="396"/>
      <c r="I54" s="394"/>
      <c r="J54" s="392"/>
      <c r="K54" s="390"/>
      <c r="L54" s="403"/>
      <c r="M54" s="405"/>
      <c r="N54" s="136"/>
      <c r="O54" s="390"/>
      <c r="P54" s="403"/>
      <c r="Q54" s="400"/>
      <c r="R54" s="126">
        <v>3</v>
      </c>
      <c r="S54" s="95"/>
      <c r="T54" s="127" t="str">
        <f t="shared" si="67"/>
        <v/>
      </c>
      <c r="U54" s="128"/>
      <c r="V54" s="128"/>
      <c r="W54" s="129"/>
      <c r="X54" s="128"/>
      <c r="Y54" s="128"/>
      <c r="Z54" s="128"/>
      <c r="AA54" s="130" t="str">
        <f>IFERROR(IF(T54="Probabilidad",(AA53-(+AA53*W54)),IF(T54="Impacto",L54,"")),"")</f>
        <v/>
      </c>
      <c r="AB54" s="131" t="str">
        <f t="shared" si="70"/>
        <v/>
      </c>
      <c r="AC54" s="132" t="str">
        <f t="shared" si="71"/>
        <v/>
      </c>
      <c r="AD54" s="131" t="str">
        <f t="shared" si="72"/>
        <v/>
      </c>
      <c r="AE54" s="132" t="str">
        <f t="shared" si="73"/>
        <v/>
      </c>
      <c r="AF54" s="133" t="str">
        <f t="shared" si="74"/>
        <v/>
      </c>
      <c r="AG54" s="134"/>
      <c r="AH54" s="95"/>
      <c r="AI54" s="123"/>
      <c r="AJ54" s="135"/>
      <c r="AK54" s="135"/>
      <c r="AL54" s="95"/>
      <c r="AM54" s="95"/>
      <c r="AN54" s="95"/>
      <c r="AO54" s="137"/>
      <c r="AP54" s="95"/>
      <c r="AQ54" s="95"/>
      <c r="AR54" s="137"/>
      <c r="AS54" s="95"/>
      <c r="AT54" s="232" t="s">
        <v>629</v>
      </c>
      <c r="AU54" s="137" t="s">
        <v>630</v>
      </c>
      <c r="AV54" s="137" t="s">
        <v>630</v>
      </c>
      <c r="AW54" s="137" t="s">
        <v>630</v>
      </c>
      <c r="AX54" s="95"/>
    </row>
    <row r="55" spans="1:50" s="147" customFormat="1" ht="157.5" customHeight="1" x14ac:dyDescent="0.25">
      <c r="A55" s="411">
        <v>17</v>
      </c>
      <c r="B55" s="374" t="s">
        <v>242</v>
      </c>
      <c r="C55" s="406" t="s">
        <v>385</v>
      </c>
      <c r="D55" s="406" t="s">
        <v>249</v>
      </c>
      <c r="E55" s="393" t="s">
        <v>120</v>
      </c>
      <c r="F55" s="393" t="s">
        <v>444</v>
      </c>
      <c r="G55" s="393" t="s">
        <v>266</v>
      </c>
      <c r="H55" s="395" t="s">
        <v>265</v>
      </c>
      <c r="I55" s="393" t="s">
        <v>328</v>
      </c>
      <c r="J55" s="391">
        <v>60</v>
      </c>
      <c r="K55" s="388" t="str">
        <f>IF(J55&lt;=0,"",IF(J55&lt;=2,"Muy Baja",IF(J55&lt;=24,"Baja",IF(J55&lt;=500,"Media",IF(J55&lt;=5000,"Alta","Muy Alta")))))</f>
        <v>Media</v>
      </c>
      <c r="L55" s="401">
        <f>IF(K55="","",IF(K55="Muy Baja",0.2,IF(K55="Baja",0.4,IF(K55="Media",0.6,IF(K55="Alta",0.8,IF(K55="Muy Alta",1,))))))</f>
        <v>0.6</v>
      </c>
      <c r="M55" s="404" t="s">
        <v>486</v>
      </c>
      <c r="N55" s="125" t="str">
        <f>IF(NOT(ISERROR(MATCH(M55,'Tabla Impacto'!$B$221:$B$223,0))),'Tabla Impacto'!$F$223&amp;"Por favor no seleccionar los criterios de impacto(Afectación Económica o presupuestal y Pérdida Reputacional)",M55)</f>
        <v xml:space="preserve"> El riesgo afecta la imagen de la entidad con algunos usuarios de relevancia frente al logro de los objetivos</v>
      </c>
      <c r="O55" s="388" t="str">
        <f>IF(OR(N55='Tabla Impacto'!$C$11,N55='Tabla Impacto'!$D$11),"Leve",IF(OR(N55='Tabla Impacto'!$C$12,N55='Tabla Impacto'!$D$12),"Menor",IF(OR(N55='Tabla Impacto'!$C$13,N55='Tabla Impacto'!$D$13),"Moderado",IF(OR(N55='Tabla Impacto'!$C$14,N55='Tabla Impacto'!$D$14),"Mayor",IF(OR(N55='Tabla Impacto'!$C$15,N55='Tabla Impacto'!$D$15),"Catastrófico","")))))</f>
        <v>Moderado</v>
      </c>
      <c r="P55" s="401">
        <f>IF(O55="","",IF(O55="Leve",0.2,IF(O55="Menor",0.4,IF(O55="Moderado",0.6,IF(O55="Mayor",0.8,IF(O55="Catastrófico",1,))))))</f>
        <v>0.6</v>
      </c>
      <c r="Q55" s="398" t="str">
        <f>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Moderado</v>
      </c>
      <c r="R55" s="126">
        <v>1</v>
      </c>
      <c r="S55" s="95" t="s">
        <v>267</v>
      </c>
      <c r="T55" s="127" t="str">
        <f t="shared" si="25"/>
        <v>Probabilidad</v>
      </c>
      <c r="U55" s="128" t="s">
        <v>15</v>
      </c>
      <c r="V55" s="128" t="s">
        <v>9</v>
      </c>
      <c r="W55" s="129" t="str">
        <f t="shared" si="26"/>
        <v>30%</v>
      </c>
      <c r="X55" s="128" t="s">
        <v>19</v>
      </c>
      <c r="Y55" s="128" t="s">
        <v>22</v>
      </c>
      <c r="Z55" s="128" t="s">
        <v>110</v>
      </c>
      <c r="AA55" s="130">
        <f t="shared" si="27"/>
        <v>0.42</v>
      </c>
      <c r="AB55" s="131" t="str">
        <f t="shared" si="28"/>
        <v>Media</v>
      </c>
      <c r="AC55" s="132">
        <f t="shared" si="29"/>
        <v>0.42</v>
      </c>
      <c r="AD55" s="131" t="str">
        <f t="shared" si="30"/>
        <v>Moderado</v>
      </c>
      <c r="AE55" s="132">
        <f t="shared" si="31"/>
        <v>0.6</v>
      </c>
      <c r="AF55" s="133" t="str">
        <f t="shared" si="32"/>
        <v>Moderado</v>
      </c>
      <c r="AG55" s="134" t="s">
        <v>122</v>
      </c>
      <c r="AH55" s="95" t="s">
        <v>269</v>
      </c>
      <c r="AI55" s="137" t="s">
        <v>270</v>
      </c>
      <c r="AJ55" s="135">
        <v>44562</v>
      </c>
      <c r="AK55" s="135">
        <v>44926</v>
      </c>
      <c r="AL55" s="95" t="s">
        <v>271</v>
      </c>
      <c r="AM55" s="216" t="s">
        <v>787</v>
      </c>
      <c r="AN55" s="256" t="s">
        <v>788</v>
      </c>
      <c r="AO55" s="239">
        <v>0.68</v>
      </c>
      <c r="AP55" s="256" t="s">
        <v>791</v>
      </c>
      <c r="AQ55" s="256" t="s">
        <v>792</v>
      </c>
      <c r="AR55" s="239">
        <v>0</v>
      </c>
      <c r="AS55" s="237"/>
      <c r="AT55" s="241" t="s">
        <v>629</v>
      </c>
      <c r="AU55" s="235" t="s">
        <v>630</v>
      </c>
      <c r="AV55" s="235" t="s">
        <v>630</v>
      </c>
      <c r="AW55" s="235" t="s">
        <v>630</v>
      </c>
      <c r="AX55" s="237" t="s">
        <v>799</v>
      </c>
    </row>
    <row r="56" spans="1:50" s="147" customFormat="1" ht="189.75" customHeight="1" x14ac:dyDescent="0.25">
      <c r="A56" s="410"/>
      <c r="B56" s="375"/>
      <c r="C56" s="409"/>
      <c r="D56" s="407"/>
      <c r="E56" s="394"/>
      <c r="F56" s="394"/>
      <c r="G56" s="394"/>
      <c r="H56" s="396"/>
      <c r="I56" s="394"/>
      <c r="J56" s="392"/>
      <c r="K56" s="389"/>
      <c r="L56" s="402"/>
      <c r="M56" s="405"/>
      <c r="N56" s="136"/>
      <c r="O56" s="389"/>
      <c r="P56" s="402"/>
      <c r="Q56" s="399"/>
      <c r="R56" s="126">
        <v>2</v>
      </c>
      <c r="S56" s="95" t="s">
        <v>268</v>
      </c>
      <c r="T56" s="127" t="str">
        <f t="shared" ref="T56:T57" si="75">IF(OR(U56="Preventivo",U56="Detectivo"),"Probabilidad",IF(U56="Correctivo","Impacto",""))</f>
        <v>Probabilidad</v>
      </c>
      <c r="U56" s="128" t="s">
        <v>15</v>
      </c>
      <c r="V56" s="128" t="s">
        <v>9</v>
      </c>
      <c r="W56" s="129" t="str">
        <f t="shared" ref="W56" si="76">IF(AND(U56="Preventivo",V56="Automático"),"50%",IF(AND(U56="Preventivo",V56="Manual"),"40%",IF(AND(U56="Detectivo",V56="Automático"),"40%",IF(AND(U56="Detectivo",V56="Manual"),"30%",IF(AND(U56="Correctivo",V56="Automático"),"35%",IF(AND(U56="Correctivo",V56="Manual"),"25%",""))))))</f>
        <v>30%</v>
      </c>
      <c r="X56" s="128" t="s">
        <v>19</v>
      </c>
      <c r="Y56" s="128" t="s">
        <v>22</v>
      </c>
      <c r="Z56" s="128" t="s">
        <v>110</v>
      </c>
      <c r="AA56" s="130">
        <f>IFERROR(IF(T56="Probabilidad",(AA55-(+AA55*W56)),IF(T56="Impacto",L56,"")),"")</f>
        <v>0.29399999999999998</v>
      </c>
      <c r="AB56" s="131" t="str">
        <f t="shared" ref="AB56:AB57" si="77">IFERROR(IF(AA56="","",IF(AA56&lt;=0.2,"Muy Baja",IF(AA56&lt;=0.4,"Baja",IF(AA56&lt;=0.6,"Media",IF(AA56&lt;=0.8,"Alta","Muy Alta"))))),"")</f>
        <v>Baja</v>
      </c>
      <c r="AC56" s="132">
        <f t="shared" ref="AC56:AC57" si="78">+AA56</f>
        <v>0.29399999999999998</v>
      </c>
      <c r="AD56" s="131" t="str">
        <f t="shared" ref="AD56:AD57" si="79">IFERROR(IF(AE56="","",IF(AE56&lt;=0.2,"Leve",IF(AE56&lt;=0.4,"Menor",IF(AE56&lt;=0.6,"Moderado",IF(AE56&lt;=0.8,"Mayor","Catastrófico"))))),"")</f>
        <v>Moderado</v>
      </c>
      <c r="AE56" s="132">
        <v>0.6</v>
      </c>
      <c r="AF56" s="133" t="str">
        <f t="shared" ref="AF56:AF57" si="80">IFERROR(IF(OR(AND(AB56="Muy Baja",AD56="Leve"),AND(AB56="Muy Baja",AD56="Menor"),AND(AB56="Baja",AD56="Leve")),"Bajo",IF(OR(AND(AB56="Muy baja",AD56="Moderado"),AND(AB56="Baja",AD56="Menor"),AND(AB56="Baja",AD56="Moderado"),AND(AB56="Media",AD56="Leve"),AND(AB56="Media",AD56="Menor"),AND(AB56="Media",AD56="Moderado"),AND(AB56="Alta",AD56="Leve"),AND(AB56="Alta",AD56="Menor")),"Moderado",IF(OR(AND(AB56="Muy Baja",AD56="Mayor"),AND(AB56="Baja",AD56="Mayor"),AND(AB56="Media",AD56="Mayor"),AND(AB56="Alta",AD56="Moderado"),AND(AB56="Alta",AD56="Mayor"),AND(AB56="Muy Alta",AD56="Leve"),AND(AB56="Muy Alta",AD56="Menor"),AND(AB56="Muy Alta",AD56="Moderado"),AND(AB56="Muy Alta",AD56="Mayor")),"Alto",IF(OR(AND(AB56="Muy Baja",AD56="Catastrófico"),AND(AB56="Baja",AD56="Catastrófico"),AND(AB56="Media",AD56="Catastrófico"),AND(AB56="Alta",AD56="Catastrófico"),AND(AB56="Muy Alta",AD56="Catastrófico")),"Extremo","")))),"")</f>
        <v>Moderado</v>
      </c>
      <c r="AG56" s="134" t="s">
        <v>122</v>
      </c>
      <c r="AH56" s="95" t="s">
        <v>269</v>
      </c>
      <c r="AI56" s="137" t="s">
        <v>270</v>
      </c>
      <c r="AJ56" s="135">
        <v>44562</v>
      </c>
      <c r="AK56" s="135">
        <v>44926</v>
      </c>
      <c r="AL56" s="95" t="s">
        <v>271</v>
      </c>
      <c r="AM56" s="216" t="s">
        <v>806</v>
      </c>
      <c r="AN56" s="256" t="s">
        <v>807</v>
      </c>
      <c r="AO56" s="239">
        <v>0.33</v>
      </c>
      <c r="AP56" s="256" t="s">
        <v>791</v>
      </c>
      <c r="AQ56" s="256" t="s">
        <v>792</v>
      </c>
      <c r="AR56" s="239">
        <v>0.33</v>
      </c>
      <c r="AS56" s="237"/>
      <c r="AT56" s="241" t="s">
        <v>629</v>
      </c>
      <c r="AU56" s="235" t="s">
        <v>630</v>
      </c>
      <c r="AV56" s="235" t="s">
        <v>630</v>
      </c>
      <c r="AW56" s="235" t="s">
        <v>630</v>
      </c>
      <c r="AX56" s="256" t="s">
        <v>808</v>
      </c>
    </row>
    <row r="57" spans="1:50" s="147" customFormat="1" ht="151.5" hidden="1" customHeight="1" x14ac:dyDescent="0.25">
      <c r="A57" s="410"/>
      <c r="B57" s="376"/>
      <c r="C57" s="409"/>
      <c r="D57" s="407"/>
      <c r="E57" s="394"/>
      <c r="F57" s="394"/>
      <c r="G57" s="394"/>
      <c r="H57" s="396"/>
      <c r="I57" s="394"/>
      <c r="J57" s="392"/>
      <c r="K57" s="390"/>
      <c r="L57" s="403"/>
      <c r="M57" s="405"/>
      <c r="N57" s="136"/>
      <c r="O57" s="390"/>
      <c r="P57" s="403"/>
      <c r="Q57" s="400"/>
      <c r="R57" s="126">
        <v>3</v>
      </c>
      <c r="S57" s="95"/>
      <c r="T57" s="127" t="str">
        <f t="shared" si="75"/>
        <v/>
      </c>
      <c r="U57" s="128"/>
      <c r="V57" s="128"/>
      <c r="W57" s="129"/>
      <c r="X57" s="128"/>
      <c r="Y57" s="128"/>
      <c r="Z57" s="128"/>
      <c r="AA57" s="130" t="str">
        <f>IFERROR(IF(T57="Probabilidad",(AA56-(+AA56*W57)),IF(T57="Impacto",L57,"")),"")</f>
        <v/>
      </c>
      <c r="AB57" s="131" t="str">
        <f t="shared" si="77"/>
        <v/>
      </c>
      <c r="AC57" s="132" t="str">
        <f t="shared" si="78"/>
        <v/>
      </c>
      <c r="AD57" s="131" t="str">
        <f t="shared" si="79"/>
        <v/>
      </c>
      <c r="AE57" s="132" t="str">
        <f t="shared" ref="AE57" si="81">IFERROR(IF(T57="Impacto",(P57-(+P57*W57)),IF(T57="Probabilidad",P57,"")),"")</f>
        <v/>
      </c>
      <c r="AF57" s="133" t="str">
        <f t="shared" si="80"/>
        <v/>
      </c>
      <c r="AG57" s="134"/>
      <c r="AH57" s="95"/>
      <c r="AI57" s="123"/>
      <c r="AJ57" s="135"/>
      <c r="AK57" s="135"/>
      <c r="AL57" s="95"/>
      <c r="AM57" s="95"/>
      <c r="AN57" s="95"/>
      <c r="AO57" s="137"/>
      <c r="AP57" s="95"/>
      <c r="AQ57" s="95"/>
      <c r="AR57" s="137"/>
      <c r="AS57" s="95"/>
      <c r="AT57" s="232" t="s">
        <v>629</v>
      </c>
      <c r="AU57" s="137" t="s">
        <v>630</v>
      </c>
      <c r="AV57" s="137" t="s">
        <v>630</v>
      </c>
      <c r="AW57" s="137" t="s">
        <v>630</v>
      </c>
      <c r="AX57" s="95"/>
    </row>
    <row r="58" spans="1:50" s="147" customFormat="1" ht="151.5" customHeight="1" x14ac:dyDescent="0.25">
      <c r="A58" s="410">
        <v>18</v>
      </c>
      <c r="B58" s="374" t="s">
        <v>272</v>
      </c>
      <c r="C58" s="406" t="s">
        <v>273</v>
      </c>
      <c r="D58" s="406" t="s">
        <v>387</v>
      </c>
      <c r="E58" s="393" t="s">
        <v>120</v>
      </c>
      <c r="F58" s="393" t="s">
        <v>274</v>
      </c>
      <c r="G58" s="393" t="s">
        <v>275</v>
      </c>
      <c r="H58" s="395" t="s">
        <v>445</v>
      </c>
      <c r="I58" s="393" t="s">
        <v>117</v>
      </c>
      <c r="J58" s="391">
        <v>360</v>
      </c>
      <c r="K58" s="388" t="str">
        <f>IF(J58&lt;=0,"",IF(J58&lt;=2,"Muy Baja",IF(J58&lt;=24,"Baja",IF(J58&lt;=500,"Media",IF(J58&lt;=5000,"Alta","Muy Alta")))))</f>
        <v>Media</v>
      </c>
      <c r="L58" s="401">
        <f>IF(K58="","",IF(K58="Muy Baja",0.2,IF(K58="Baja",0.4,IF(K58="Media",0.6,IF(K58="Alta",0.8,IF(K58="Muy Alta",1,))))))</f>
        <v>0.6</v>
      </c>
      <c r="M58" s="404" t="s">
        <v>486</v>
      </c>
      <c r="N58" s="125" t="str">
        <f>IF(NOT(ISERROR(MATCH(M58,'Tabla Impacto'!$B$221:$B$223,0))),'Tabla Impacto'!$F$223&amp;"Por favor no seleccionar los criterios de impacto(Afectación Económica o presupuestal y Pérdida Reputacional)",M58)</f>
        <v xml:space="preserve"> El riesgo afecta la imagen de la entidad con algunos usuarios de relevancia frente al logro de los objetivos</v>
      </c>
      <c r="O58" s="388" t="str">
        <f>IF(OR(N58='Tabla Impacto'!$C$11,N58='Tabla Impacto'!$D$11),"Leve",IF(OR(N58='Tabla Impacto'!$C$12,N58='Tabla Impacto'!$D$12),"Menor",IF(OR(N58='Tabla Impacto'!$C$13,N58='Tabla Impacto'!$D$13),"Moderado",IF(OR(N58='Tabla Impacto'!$C$14,N58='Tabla Impacto'!$D$14),"Mayor",IF(OR(N58='Tabla Impacto'!$C$15,N58='Tabla Impacto'!$D$15),"Catastrófico","")))))</f>
        <v>Moderado</v>
      </c>
      <c r="P58" s="401">
        <f>IF(O58="","",IF(O58="Leve",0.2,IF(O58="Menor",0.4,IF(O58="Moderado",0.6,IF(O58="Mayor",0.8,IF(O58="Catastrófico",1,))))))</f>
        <v>0.6</v>
      </c>
      <c r="Q58" s="398" t="str">
        <f>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Moderado</v>
      </c>
      <c r="R58" s="126">
        <v>1</v>
      </c>
      <c r="S58" s="95" t="s">
        <v>276</v>
      </c>
      <c r="T58" s="127" t="str">
        <f t="shared" si="25"/>
        <v>Probabilidad</v>
      </c>
      <c r="U58" s="128" t="s">
        <v>15</v>
      </c>
      <c r="V58" s="128" t="s">
        <v>9</v>
      </c>
      <c r="W58" s="129" t="str">
        <f t="shared" si="26"/>
        <v>30%</v>
      </c>
      <c r="X58" s="128" t="s">
        <v>20</v>
      </c>
      <c r="Y58" s="128" t="s">
        <v>22</v>
      </c>
      <c r="Z58" s="128" t="s">
        <v>110</v>
      </c>
      <c r="AA58" s="130">
        <f t="shared" si="27"/>
        <v>0.42</v>
      </c>
      <c r="AB58" s="131" t="str">
        <f t="shared" si="28"/>
        <v>Media</v>
      </c>
      <c r="AC58" s="132">
        <f t="shared" si="29"/>
        <v>0.42</v>
      </c>
      <c r="AD58" s="131" t="str">
        <f t="shared" si="30"/>
        <v>Moderado</v>
      </c>
      <c r="AE58" s="132">
        <f t="shared" si="31"/>
        <v>0.6</v>
      </c>
      <c r="AF58" s="133" t="str">
        <f t="shared" si="32"/>
        <v>Moderado</v>
      </c>
      <c r="AG58" s="134" t="s">
        <v>122</v>
      </c>
      <c r="AH58" s="95" t="s">
        <v>386</v>
      </c>
      <c r="AI58" s="123" t="s">
        <v>198</v>
      </c>
      <c r="AJ58" s="135">
        <v>44562</v>
      </c>
      <c r="AK58" s="135">
        <v>44926</v>
      </c>
      <c r="AL58" s="95" t="s">
        <v>277</v>
      </c>
      <c r="AM58" s="95" t="s">
        <v>863</v>
      </c>
      <c r="AN58" s="95" t="s">
        <v>641</v>
      </c>
      <c r="AO58" s="218">
        <v>1</v>
      </c>
      <c r="AP58" s="95" t="s">
        <v>642</v>
      </c>
      <c r="AQ58" s="95" t="s">
        <v>800</v>
      </c>
      <c r="AR58" s="218">
        <v>1</v>
      </c>
      <c r="AS58" s="95"/>
      <c r="AT58" s="232" t="s">
        <v>629</v>
      </c>
      <c r="AU58" s="137" t="s">
        <v>630</v>
      </c>
      <c r="AV58" s="137" t="s">
        <v>630</v>
      </c>
      <c r="AW58" s="137" t="s">
        <v>630</v>
      </c>
      <c r="AX58" s="122" t="s">
        <v>867</v>
      </c>
    </row>
    <row r="59" spans="1:50" s="147" customFormat="1" ht="151.5" hidden="1" customHeight="1" x14ac:dyDescent="0.25">
      <c r="A59" s="410"/>
      <c r="B59" s="375"/>
      <c r="C59" s="407"/>
      <c r="D59" s="409"/>
      <c r="E59" s="394"/>
      <c r="F59" s="394"/>
      <c r="G59" s="394"/>
      <c r="H59" s="396"/>
      <c r="I59" s="394"/>
      <c r="J59" s="392"/>
      <c r="K59" s="389"/>
      <c r="L59" s="402"/>
      <c r="M59" s="405"/>
      <c r="N59" s="136"/>
      <c r="O59" s="389"/>
      <c r="P59" s="402"/>
      <c r="Q59" s="399"/>
      <c r="R59" s="126">
        <v>2</v>
      </c>
      <c r="S59" s="95"/>
      <c r="T59" s="127" t="str">
        <f t="shared" ref="T59:T60" si="82">IF(OR(U59="Preventivo",U59="Detectivo"),"Probabilidad",IF(U59="Correctivo","Impacto",""))</f>
        <v/>
      </c>
      <c r="U59" s="128"/>
      <c r="V59" s="128"/>
      <c r="W59" s="129"/>
      <c r="X59" s="128"/>
      <c r="Y59" s="128"/>
      <c r="Z59" s="128"/>
      <c r="AA59" s="130" t="str">
        <f>IFERROR(IF(T59="Probabilidad",(AA58-(+AA58*W59)),IF(T59="Impacto",L59,"")),"")</f>
        <v/>
      </c>
      <c r="AB59" s="131" t="str">
        <f t="shared" ref="AB59:AB60" si="83">IFERROR(IF(AA59="","",IF(AA59&lt;=0.2,"Muy Baja",IF(AA59&lt;=0.4,"Baja",IF(AA59&lt;=0.6,"Media",IF(AA59&lt;=0.8,"Alta","Muy Alta"))))),"")</f>
        <v/>
      </c>
      <c r="AC59" s="132" t="str">
        <f t="shared" ref="AC59:AC60" si="84">+AA59</f>
        <v/>
      </c>
      <c r="AD59" s="131" t="str">
        <f t="shared" ref="AD59:AD60" si="85">IFERROR(IF(AE59="","",IF(AE59&lt;=0.2,"Leve",IF(AE59&lt;=0.4,"Menor",IF(AE59&lt;=0.6,"Moderado",IF(AE59&lt;=0.8,"Mayor","Catastrófico"))))),"")</f>
        <v/>
      </c>
      <c r="AE59" s="132" t="str">
        <f t="shared" ref="AE59:AE60" si="86">IFERROR(IF(T59="Impacto",(P59-(+P59*W59)),IF(T59="Probabilidad",P59,"")),"")</f>
        <v/>
      </c>
      <c r="AF59" s="133" t="str">
        <f t="shared" ref="AF59:AF60" si="87">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
      </c>
      <c r="AG59" s="134"/>
      <c r="AH59" s="95"/>
      <c r="AI59" s="123"/>
      <c r="AJ59" s="135"/>
      <c r="AK59" s="135"/>
      <c r="AL59" s="95"/>
      <c r="AM59" s="95"/>
      <c r="AN59" s="95"/>
      <c r="AO59" s="137"/>
      <c r="AP59" s="95"/>
      <c r="AQ59" s="95"/>
      <c r="AR59" s="137"/>
      <c r="AS59" s="95"/>
      <c r="AT59" s="232" t="s">
        <v>629</v>
      </c>
      <c r="AU59" s="137" t="s">
        <v>630</v>
      </c>
      <c r="AV59" s="137" t="s">
        <v>630</v>
      </c>
      <c r="AW59" s="137" t="s">
        <v>630</v>
      </c>
      <c r="AX59" s="95"/>
    </row>
    <row r="60" spans="1:50" s="147" customFormat="1" ht="151.5" hidden="1" customHeight="1" x14ac:dyDescent="0.25">
      <c r="A60" s="410"/>
      <c r="B60" s="376"/>
      <c r="C60" s="407"/>
      <c r="D60" s="409"/>
      <c r="E60" s="394"/>
      <c r="F60" s="394"/>
      <c r="G60" s="394"/>
      <c r="H60" s="396"/>
      <c r="I60" s="394"/>
      <c r="J60" s="392"/>
      <c r="K60" s="390"/>
      <c r="L60" s="403"/>
      <c r="M60" s="416"/>
      <c r="N60" s="136"/>
      <c r="O60" s="390"/>
      <c r="P60" s="403"/>
      <c r="Q60" s="400"/>
      <c r="R60" s="126">
        <v>3</v>
      </c>
      <c r="S60" s="95"/>
      <c r="T60" s="127" t="str">
        <f t="shared" si="82"/>
        <v/>
      </c>
      <c r="U60" s="128"/>
      <c r="V60" s="128"/>
      <c r="W60" s="129"/>
      <c r="X60" s="128"/>
      <c r="Y60" s="128"/>
      <c r="Z60" s="128"/>
      <c r="AA60" s="130" t="str">
        <f>IFERROR(IF(T60="Probabilidad",(AA59-(+AA59*W60)),IF(T60="Impacto",L60,"")),"")</f>
        <v/>
      </c>
      <c r="AB60" s="131" t="str">
        <f t="shared" si="83"/>
        <v/>
      </c>
      <c r="AC60" s="132" t="str">
        <f t="shared" si="84"/>
        <v/>
      </c>
      <c r="AD60" s="131" t="str">
        <f t="shared" si="85"/>
        <v/>
      </c>
      <c r="AE60" s="132" t="str">
        <f t="shared" si="86"/>
        <v/>
      </c>
      <c r="AF60" s="133" t="str">
        <f t="shared" si="87"/>
        <v/>
      </c>
      <c r="AG60" s="134"/>
      <c r="AH60" s="95"/>
      <c r="AI60" s="123"/>
      <c r="AJ60" s="135"/>
      <c r="AK60" s="135"/>
      <c r="AL60" s="95"/>
      <c r="AM60" s="95"/>
      <c r="AN60" s="95"/>
      <c r="AO60" s="137"/>
      <c r="AP60" s="95"/>
      <c r="AQ60" s="95"/>
      <c r="AR60" s="137"/>
      <c r="AS60" s="95"/>
      <c r="AT60" s="232" t="s">
        <v>629</v>
      </c>
      <c r="AU60" s="137" t="s">
        <v>630</v>
      </c>
      <c r="AV60" s="137" t="s">
        <v>630</v>
      </c>
      <c r="AW60" s="137" t="s">
        <v>630</v>
      </c>
      <c r="AX60" s="95"/>
    </row>
    <row r="61" spans="1:50" s="147" customFormat="1" ht="185.25" customHeight="1" x14ac:dyDescent="0.25">
      <c r="A61" s="410">
        <v>19</v>
      </c>
      <c r="B61" s="374" t="s">
        <v>272</v>
      </c>
      <c r="C61" s="406" t="s">
        <v>273</v>
      </c>
      <c r="D61" s="406" t="s">
        <v>387</v>
      </c>
      <c r="E61" s="393" t="s">
        <v>120</v>
      </c>
      <c r="F61" s="397" t="s">
        <v>278</v>
      </c>
      <c r="G61" s="393" t="s">
        <v>279</v>
      </c>
      <c r="H61" s="395" t="s">
        <v>580</v>
      </c>
      <c r="I61" s="393" t="s">
        <v>115</v>
      </c>
      <c r="J61" s="391">
        <v>246</v>
      </c>
      <c r="K61" s="388" t="str">
        <f>IF(J61&lt;=0,"",IF(J61&lt;=2,"Muy Baja",IF(J61&lt;=24,"Baja",IF(J61&lt;=500,"Media",IF(J61&lt;=5000,"Alta","Muy Alta")))))</f>
        <v>Media</v>
      </c>
      <c r="L61" s="401">
        <f>IF(K61="","",IF(K61="Muy Baja",0.2,IF(K61="Baja",0.4,IF(K61="Media",0.6,IF(K61="Alta",0.8,IF(K61="Muy Alta",1,))))))</f>
        <v>0.6</v>
      </c>
      <c r="M61" s="404" t="s">
        <v>493</v>
      </c>
      <c r="N61" s="125" t="str">
        <f>IF(NOT(ISERROR(MATCH(M61,'Tabla Impacto'!$B$221:$B$223,0))),'Tabla Impacto'!$F$223&amp;"Por favor no seleccionar los criterios de impacto(Afectación Económica o presupuestal y Pérdida Reputacional)",M61)</f>
        <v xml:space="preserve"> El riesgo afecta la imagen de la entidad con efecto publicitario sostenido a nivel de sector administrativo, nivel departamental o municipal</v>
      </c>
      <c r="O61" s="388" t="str">
        <f>IF(OR(N61='Tabla Impacto'!$C$11,N61='Tabla Impacto'!$D$11),"Leve",IF(OR(N61='Tabla Impacto'!$C$12,N61='Tabla Impacto'!$D$12),"Menor",IF(OR(N61='Tabla Impacto'!$C$13,N61='Tabla Impacto'!$D$13),"Moderado",IF(OR(N61='Tabla Impacto'!$C$14,N61='Tabla Impacto'!$D$14),"Mayor",IF(OR(N61='Tabla Impacto'!$C$15,N61='Tabla Impacto'!$D$15),"Catastrófico","")))))</f>
        <v>Mayor</v>
      </c>
      <c r="P61" s="401">
        <f>IF(O61="","",IF(O61="Leve",0.2,IF(O61="Menor",0.4,IF(O61="Moderado",0.6,IF(O61="Mayor",0.8,IF(O61="Catastrófico",1,))))))</f>
        <v>0.8</v>
      </c>
      <c r="Q61" s="398" t="str">
        <f>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Alto</v>
      </c>
      <c r="R61" s="126">
        <v>1</v>
      </c>
      <c r="S61" s="95" t="s">
        <v>546</v>
      </c>
      <c r="T61" s="127" t="str">
        <f t="shared" si="25"/>
        <v>Probabilidad</v>
      </c>
      <c r="U61" s="128" t="s">
        <v>14</v>
      </c>
      <c r="V61" s="128" t="s">
        <v>9</v>
      </c>
      <c r="W61" s="129" t="str">
        <f t="shared" si="26"/>
        <v>40%</v>
      </c>
      <c r="X61" s="128" t="s">
        <v>20</v>
      </c>
      <c r="Y61" s="128" t="s">
        <v>22</v>
      </c>
      <c r="Z61" s="128" t="s">
        <v>110</v>
      </c>
      <c r="AA61" s="130">
        <f t="shared" si="27"/>
        <v>0.36</v>
      </c>
      <c r="AB61" s="131" t="str">
        <f t="shared" si="28"/>
        <v>Baja</v>
      </c>
      <c r="AC61" s="132">
        <f t="shared" si="29"/>
        <v>0.36</v>
      </c>
      <c r="AD61" s="131" t="str">
        <f t="shared" si="30"/>
        <v>Mayor</v>
      </c>
      <c r="AE61" s="132">
        <f t="shared" si="31"/>
        <v>0.8</v>
      </c>
      <c r="AF61" s="133" t="str">
        <f t="shared" si="32"/>
        <v>Alto</v>
      </c>
      <c r="AG61" s="134" t="s">
        <v>122</v>
      </c>
      <c r="AH61" s="122" t="s">
        <v>372</v>
      </c>
      <c r="AI61" s="117" t="s">
        <v>212</v>
      </c>
      <c r="AJ61" s="124">
        <v>44562</v>
      </c>
      <c r="AK61" s="139" t="s">
        <v>373</v>
      </c>
      <c r="AL61" s="95" t="s">
        <v>280</v>
      </c>
      <c r="AM61" s="221" t="s">
        <v>809</v>
      </c>
      <c r="AN61" s="222" t="s">
        <v>639</v>
      </c>
      <c r="AO61" s="218">
        <v>1</v>
      </c>
      <c r="AP61" s="122" t="s">
        <v>372</v>
      </c>
      <c r="AQ61" s="95" t="s">
        <v>640</v>
      </c>
      <c r="AR61" s="218">
        <v>0.8</v>
      </c>
      <c r="AS61" s="95"/>
      <c r="AT61" s="232" t="s">
        <v>629</v>
      </c>
      <c r="AU61" s="137" t="s">
        <v>630</v>
      </c>
      <c r="AV61" s="137" t="s">
        <v>630</v>
      </c>
      <c r="AW61" s="137" t="s">
        <v>630</v>
      </c>
      <c r="AX61" s="122" t="s">
        <v>868</v>
      </c>
    </row>
    <row r="62" spans="1:50" s="147" customFormat="1" ht="151.5" hidden="1" customHeight="1" x14ac:dyDescent="0.25">
      <c r="A62" s="410"/>
      <c r="B62" s="375"/>
      <c r="C62" s="407"/>
      <c r="D62" s="409"/>
      <c r="E62" s="394"/>
      <c r="F62" s="394"/>
      <c r="G62" s="394"/>
      <c r="H62" s="396"/>
      <c r="I62" s="394"/>
      <c r="J62" s="392"/>
      <c r="K62" s="389"/>
      <c r="L62" s="402"/>
      <c r="M62" s="405"/>
      <c r="N62" s="136"/>
      <c r="O62" s="389"/>
      <c r="P62" s="402"/>
      <c r="Q62" s="399"/>
      <c r="R62" s="126">
        <v>2</v>
      </c>
      <c r="S62" s="95"/>
      <c r="T62" s="127" t="str">
        <f t="shared" ref="T62:T63" si="88">IF(OR(U62="Preventivo",U62="Detectivo"),"Probabilidad",IF(U62="Correctivo","Impacto",""))</f>
        <v/>
      </c>
      <c r="U62" s="128"/>
      <c r="V62" s="128"/>
      <c r="W62" s="129"/>
      <c r="X62" s="128"/>
      <c r="Y62" s="128"/>
      <c r="Z62" s="128"/>
      <c r="AA62" s="130" t="str">
        <f>IFERROR(IF(T62="Probabilidad",(AA61-(+AA61*W62)),IF(T62="Impacto",L62,"")),"")</f>
        <v/>
      </c>
      <c r="AB62" s="131" t="str">
        <f t="shared" ref="AB62:AB63" si="89">IFERROR(IF(AA62="","",IF(AA62&lt;=0.2,"Muy Baja",IF(AA62&lt;=0.4,"Baja",IF(AA62&lt;=0.6,"Media",IF(AA62&lt;=0.8,"Alta","Muy Alta"))))),"")</f>
        <v/>
      </c>
      <c r="AC62" s="132" t="str">
        <f t="shared" ref="AC62:AC63" si="90">+AA62</f>
        <v/>
      </c>
      <c r="AD62" s="131" t="str">
        <f t="shared" ref="AD62:AD63" si="91">IFERROR(IF(AE62="","",IF(AE62&lt;=0.2,"Leve",IF(AE62&lt;=0.4,"Menor",IF(AE62&lt;=0.6,"Moderado",IF(AE62&lt;=0.8,"Mayor","Catastrófico"))))),"")</f>
        <v/>
      </c>
      <c r="AE62" s="132" t="str">
        <f t="shared" ref="AE62:AE63" si="92">IFERROR(IF(T62="Impacto",(P62-(+P62*W62)),IF(T62="Probabilidad",P62,"")),"")</f>
        <v/>
      </c>
      <c r="AF62" s="133" t="str">
        <f t="shared" ref="AF62:AF63" si="93">IFERROR(IF(OR(AND(AB62="Muy Baja",AD62="Leve"),AND(AB62="Muy Baja",AD62="Menor"),AND(AB62="Baja",AD62="Leve")),"Bajo",IF(OR(AND(AB62="Muy baja",AD62="Moderado"),AND(AB62="Baja",AD62="Menor"),AND(AB62="Baja",AD62="Moderado"),AND(AB62="Media",AD62="Leve"),AND(AB62="Media",AD62="Menor"),AND(AB62="Media",AD62="Moderado"),AND(AB62="Alta",AD62="Leve"),AND(AB62="Alta",AD62="Menor")),"Moderado",IF(OR(AND(AB62="Muy Baja",AD62="Mayor"),AND(AB62="Baja",AD62="Mayor"),AND(AB62="Media",AD62="Mayor"),AND(AB62="Alta",AD62="Moderado"),AND(AB62="Alta",AD62="Mayor"),AND(AB62="Muy Alta",AD62="Leve"),AND(AB62="Muy Alta",AD62="Menor"),AND(AB62="Muy Alta",AD62="Moderado"),AND(AB62="Muy Alta",AD62="Mayor")),"Alto",IF(OR(AND(AB62="Muy Baja",AD62="Catastrófico"),AND(AB62="Baja",AD62="Catastrófico"),AND(AB62="Media",AD62="Catastrófico"),AND(AB62="Alta",AD62="Catastrófico"),AND(AB62="Muy Alta",AD62="Catastrófico")),"Extremo","")))),"")</f>
        <v/>
      </c>
      <c r="AG62" s="134"/>
      <c r="AH62" s="95"/>
      <c r="AI62" s="123"/>
      <c r="AJ62" s="135"/>
      <c r="AK62" s="135"/>
      <c r="AL62" s="95"/>
      <c r="AM62" s="95"/>
      <c r="AN62" s="95"/>
      <c r="AO62" s="137"/>
      <c r="AP62" s="95"/>
      <c r="AQ62" s="95"/>
      <c r="AR62" s="137"/>
      <c r="AS62" s="95"/>
      <c r="AT62" s="232" t="s">
        <v>629</v>
      </c>
      <c r="AU62" s="137" t="s">
        <v>630</v>
      </c>
      <c r="AV62" s="137" t="s">
        <v>630</v>
      </c>
      <c r="AW62" s="137" t="s">
        <v>630</v>
      </c>
      <c r="AX62" s="95"/>
    </row>
    <row r="63" spans="1:50" s="147" customFormat="1" ht="151.5" hidden="1" customHeight="1" x14ac:dyDescent="0.25">
      <c r="A63" s="410"/>
      <c r="B63" s="376"/>
      <c r="C63" s="407"/>
      <c r="D63" s="409"/>
      <c r="E63" s="394"/>
      <c r="F63" s="394"/>
      <c r="G63" s="394"/>
      <c r="H63" s="396"/>
      <c r="I63" s="394"/>
      <c r="J63" s="392"/>
      <c r="K63" s="390"/>
      <c r="L63" s="403"/>
      <c r="M63" s="405"/>
      <c r="N63" s="136"/>
      <c r="O63" s="390"/>
      <c r="P63" s="403"/>
      <c r="Q63" s="400"/>
      <c r="R63" s="126">
        <v>3</v>
      </c>
      <c r="S63" s="95"/>
      <c r="T63" s="127" t="str">
        <f t="shared" si="88"/>
        <v/>
      </c>
      <c r="U63" s="128"/>
      <c r="V63" s="128"/>
      <c r="W63" s="129"/>
      <c r="X63" s="128"/>
      <c r="Y63" s="128"/>
      <c r="Z63" s="128"/>
      <c r="AA63" s="130" t="str">
        <f>IFERROR(IF(T63="Probabilidad",(AA62-(+AA62*W63)),IF(T63="Impacto",L63,"")),"")</f>
        <v/>
      </c>
      <c r="AB63" s="131" t="str">
        <f t="shared" si="89"/>
        <v/>
      </c>
      <c r="AC63" s="132" t="str">
        <f t="shared" si="90"/>
        <v/>
      </c>
      <c r="AD63" s="131" t="str">
        <f t="shared" si="91"/>
        <v/>
      </c>
      <c r="AE63" s="132" t="str">
        <f t="shared" si="92"/>
        <v/>
      </c>
      <c r="AF63" s="133" t="str">
        <f t="shared" si="93"/>
        <v/>
      </c>
      <c r="AG63" s="134"/>
      <c r="AH63" s="95"/>
      <c r="AI63" s="123"/>
      <c r="AJ63" s="135"/>
      <c r="AK63" s="135"/>
      <c r="AL63" s="95"/>
      <c r="AM63" s="95"/>
      <c r="AN63" s="95"/>
      <c r="AO63" s="137"/>
      <c r="AP63" s="95"/>
      <c r="AQ63" s="95"/>
      <c r="AR63" s="137"/>
      <c r="AS63" s="95"/>
      <c r="AT63" s="232" t="s">
        <v>629</v>
      </c>
      <c r="AU63" s="137" t="s">
        <v>630</v>
      </c>
      <c r="AV63" s="137" t="s">
        <v>630</v>
      </c>
      <c r="AW63" s="137" t="s">
        <v>630</v>
      </c>
      <c r="AX63" s="95"/>
    </row>
    <row r="64" spans="1:50" s="147" customFormat="1" ht="151.5" customHeight="1" x14ac:dyDescent="0.25">
      <c r="A64" s="410">
        <v>20</v>
      </c>
      <c r="B64" s="374" t="s">
        <v>281</v>
      </c>
      <c r="C64" s="406" t="s">
        <v>356</v>
      </c>
      <c r="D64" s="406" t="s">
        <v>388</v>
      </c>
      <c r="E64" s="393" t="s">
        <v>120</v>
      </c>
      <c r="F64" s="397" t="s">
        <v>529</v>
      </c>
      <c r="G64" s="397" t="s">
        <v>530</v>
      </c>
      <c r="H64" s="395" t="s">
        <v>528</v>
      </c>
      <c r="I64" s="393" t="s">
        <v>330</v>
      </c>
      <c r="J64" s="391">
        <v>4</v>
      </c>
      <c r="K64" s="388" t="str">
        <f>IF(J64&lt;=0,"",IF(J64&lt;=2,"Muy Baja",IF(J64&lt;=24,"Baja",IF(J64&lt;=500,"Media",IF(J64&lt;=5000,"Alta","Muy Alta")))))</f>
        <v>Baja</v>
      </c>
      <c r="L64" s="401">
        <f>IF(K64="","",IF(K64="Muy Baja",0.2,IF(K64="Baja",0.4,IF(K64="Media",0.6,IF(K64="Alta",0.8,IF(K64="Muy Alta",1,))))))</f>
        <v>0.4</v>
      </c>
      <c r="M64" s="404" t="s">
        <v>482</v>
      </c>
      <c r="N64" s="125" t="str">
        <f>IF(NOT(ISERROR(MATCH(M64,'Tabla Impacto'!$B$221:$B$223,0))),'Tabla Impacto'!$F$223&amp;"Por favor no seleccionar los criterios de impacto(Afectación Económica o presupuestal y Pérdida Reputacional)",M64)</f>
        <v xml:space="preserve"> Afectación menor a 10 SMLMV .</v>
      </c>
      <c r="O64" s="388" t="str">
        <f>IF(OR(N64='Tabla Impacto'!$C$11,N64='Tabla Impacto'!$D$11),"Leve",IF(OR(N64='Tabla Impacto'!$C$12,N64='Tabla Impacto'!$D$12),"Menor",IF(OR(N64='Tabla Impacto'!$C$13,N64='Tabla Impacto'!$D$13),"Moderado",IF(OR(N64='Tabla Impacto'!$C$14,N64='Tabla Impacto'!$D$14),"Mayor",IF(OR(N64='Tabla Impacto'!$C$15,N64='Tabla Impacto'!$D$15),"Catastrófico","")))))</f>
        <v>Leve</v>
      </c>
      <c r="P64" s="401">
        <f>IF(O64="","",IF(O64="Leve",0.2,IF(O64="Menor",0.4,IF(O64="Moderado",0.6,IF(O64="Mayor",0.8,IF(O64="Catastrófico",1,))))))</f>
        <v>0.2</v>
      </c>
      <c r="Q64" s="398" t="str">
        <f>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Bajo</v>
      </c>
      <c r="R64" s="126">
        <v>1</v>
      </c>
      <c r="S64" s="95" t="s">
        <v>531</v>
      </c>
      <c r="T64" s="127" t="str">
        <f t="shared" si="25"/>
        <v>Probabilidad</v>
      </c>
      <c r="U64" s="128" t="s">
        <v>14</v>
      </c>
      <c r="V64" s="128" t="s">
        <v>9</v>
      </c>
      <c r="W64" s="129" t="str">
        <f t="shared" si="26"/>
        <v>40%</v>
      </c>
      <c r="X64" s="128" t="s">
        <v>19</v>
      </c>
      <c r="Y64" s="128" t="s">
        <v>22</v>
      </c>
      <c r="Z64" s="128" t="s">
        <v>110</v>
      </c>
      <c r="AA64" s="130">
        <f t="shared" si="27"/>
        <v>0.24</v>
      </c>
      <c r="AB64" s="131" t="str">
        <f t="shared" si="28"/>
        <v>Baja</v>
      </c>
      <c r="AC64" s="132">
        <f t="shared" si="29"/>
        <v>0.24</v>
      </c>
      <c r="AD64" s="131" t="str">
        <f t="shared" si="30"/>
        <v>Leve</v>
      </c>
      <c r="AE64" s="132">
        <f t="shared" si="31"/>
        <v>0.2</v>
      </c>
      <c r="AF64" s="133" t="str">
        <f t="shared" si="32"/>
        <v>Bajo</v>
      </c>
      <c r="AG64" s="134" t="s">
        <v>122</v>
      </c>
      <c r="AH64" s="95" t="s">
        <v>532</v>
      </c>
      <c r="AI64" s="123" t="s">
        <v>212</v>
      </c>
      <c r="AJ64" s="135" t="s">
        <v>286</v>
      </c>
      <c r="AK64" s="135" t="s">
        <v>287</v>
      </c>
      <c r="AL64" s="143" t="s">
        <v>541</v>
      </c>
      <c r="AM64" s="95" t="s">
        <v>810</v>
      </c>
      <c r="AN64" s="95" t="s">
        <v>811</v>
      </c>
      <c r="AO64" s="218">
        <v>1</v>
      </c>
      <c r="AP64" s="95" t="s">
        <v>689</v>
      </c>
      <c r="AQ64" s="95" t="s">
        <v>801</v>
      </c>
      <c r="AR64" s="218">
        <v>1</v>
      </c>
      <c r="AS64" s="95"/>
      <c r="AT64" s="232" t="s">
        <v>629</v>
      </c>
      <c r="AU64" s="137" t="s">
        <v>630</v>
      </c>
      <c r="AV64" s="137" t="s">
        <v>630</v>
      </c>
      <c r="AW64" s="137" t="s">
        <v>630</v>
      </c>
      <c r="AX64" s="95"/>
    </row>
    <row r="65" spans="1:50" s="147" customFormat="1" ht="151.5" hidden="1" customHeight="1" x14ac:dyDescent="0.25">
      <c r="A65" s="410"/>
      <c r="B65" s="375"/>
      <c r="C65" s="409"/>
      <c r="D65" s="409"/>
      <c r="E65" s="394"/>
      <c r="F65" s="394"/>
      <c r="G65" s="394"/>
      <c r="H65" s="396"/>
      <c r="I65" s="394"/>
      <c r="J65" s="392"/>
      <c r="K65" s="389"/>
      <c r="L65" s="402"/>
      <c r="M65" s="405"/>
      <c r="N65" s="136"/>
      <c r="O65" s="389"/>
      <c r="P65" s="402"/>
      <c r="Q65" s="399"/>
      <c r="R65" s="126">
        <v>2</v>
      </c>
      <c r="S65" s="95"/>
      <c r="T65" s="127"/>
      <c r="U65" s="128"/>
      <c r="V65" s="128"/>
      <c r="W65" s="129"/>
      <c r="X65" s="128"/>
      <c r="Y65" s="128"/>
      <c r="Z65" s="128"/>
      <c r="AA65" s="130"/>
      <c r="AB65" s="131"/>
      <c r="AC65" s="132"/>
      <c r="AD65" s="131"/>
      <c r="AE65" s="132"/>
      <c r="AF65" s="133"/>
      <c r="AG65" s="134"/>
      <c r="AH65" s="95"/>
      <c r="AI65" s="123"/>
      <c r="AJ65" s="135"/>
      <c r="AK65" s="135"/>
      <c r="AL65" s="143"/>
      <c r="AM65" s="95"/>
      <c r="AN65" s="95"/>
      <c r="AO65" s="137"/>
      <c r="AP65" s="95"/>
      <c r="AQ65" s="95"/>
      <c r="AR65" s="137"/>
      <c r="AS65" s="95"/>
      <c r="AT65" s="232" t="s">
        <v>629</v>
      </c>
      <c r="AU65" s="137" t="s">
        <v>630</v>
      </c>
      <c r="AV65" s="137" t="s">
        <v>630</v>
      </c>
      <c r="AW65" s="137" t="s">
        <v>630</v>
      </c>
      <c r="AX65" s="95"/>
    </row>
    <row r="66" spans="1:50" s="147" customFormat="1" ht="151.5" hidden="1" customHeight="1" x14ac:dyDescent="0.25">
      <c r="A66" s="410"/>
      <c r="B66" s="376"/>
      <c r="C66" s="409"/>
      <c r="D66" s="409"/>
      <c r="E66" s="394"/>
      <c r="F66" s="394"/>
      <c r="G66" s="394"/>
      <c r="H66" s="396"/>
      <c r="I66" s="394"/>
      <c r="J66" s="392"/>
      <c r="K66" s="390"/>
      <c r="L66" s="403"/>
      <c r="M66" s="405"/>
      <c r="N66" s="136"/>
      <c r="O66" s="390"/>
      <c r="P66" s="403"/>
      <c r="Q66" s="400"/>
      <c r="R66" s="126">
        <v>3</v>
      </c>
      <c r="S66" s="95"/>
      <c r="T66" s="127" t="str">
        <f t="shared" ref="T66" si="94">IF(OR(U66="Preventivo",U66="Detectivo"),"Probabilidad",IF(U66="Correctivo","Impacto",""))</f>
        <v/>
      </c>
      <c r="U66" s="128"/>
      <c r="V66" s="128"/>
      <c r="W66" s="129"/>
      <c r="X66" s="128"/>
      <c r="Y66" s="128"/>
      <c r="Z66" s="128"/>
      <c r="AA66" s="130"/>
      <c r="AB66" s="131"/>
      <c r="AC66" s="132"/>
      <c r="AD66" s="131"/>
      <c r="AE66" s="132"/>
      <c r="AF66" s="133"/>
      <c r="AG66" s="134"/>
      <c r="AH66" s="95"/>
      <c r="AI66" s="123"/>
      <c r="AJ66" s="135"/>
      <c r="AK66" s="135"/>
      <c r="AL66" s="95"/>
      <c r="AM66" s="95"/>
      <c r="AN66" s="95"/>
      <c r="AO66" s="137"/>
      <c r="AP66" s="95"/>
      <c r="AQ66" s="95"/>
      <c r="AR66" s="137"/>
      <c r="AS66" s="95"/>
      <c r="AT66" s="232" t="s">
        <v>629</v>
      </c>
      <c r="AU66" s="137" t="s">
        <v>630</v>
      </c>
      <c r="AV66" s="137" t="s">
        <v>630</v>
      </c>
      <c r="AW66" s="137" t="s">
        <v>630</v>
      </c>
      <c r="AX66" s="95"/>
    </row>
    <row r="67" spans="1:50" s="147" customFormat="1" ht="200.25" customHeight="1" x14ac:dyDescent="0.25">
      <c r="A67" s="410">
        <v>21</v>
      </c>
      <c r="B67" s="374" t="s">
        <v>281</v>
      </c>
      <c r="C67" s="406" t="s">
        <v>356</v>
      </c>
      <c r="D67" s="406" t="s">
        <v>388</v>
      </c>
      <c r="E67" s="393" t="s">
        <v>118</v>
      </c>
      <c r="F67" s="393" t="s">
        <v>446</v>
      </c>
      <c r="G67" s="393" t="s">
        <v>284</v>
      </c>
      <c r="H67" s="395" t="s">
        <v>283</v>
      </c>
      <c r="I67" s="393" t="s">
        <v>328</v>
      </c>
      <c r="J67" s="391">
        <v>12</v>
      </c>
      <c r="K67" s="388" t="str">
        <f>IF(J67&lt;=0,"",IF(J67&lt;=2,"Muy Baja",IF(J67&lt;=24,"Baja",IF(J67&lt;=500,"Media",IF(J67&lt;=5000,"Alta","Muy Alta")))))</f>
        <v>Baja</v>
      </c>
      <c r="L67" s="401">
        <f>IF(K67="","",IF(K67="Muy Baja",0.2,IF(K67="Baja",0.4,IF(K67="Media",0.6,IF(K67="Alta",0.8,IF(K67="Muy Alta",1,))))))</f>
        <v>0.4</v>
      </c>
      <c r="M67" s="404" t="s">
        <v>491</v>
      </c>
      <c r="N67" s="125" t="str">
        <f>IF(NOT(ISERROR(MATCH(M67,'Tabla Impacto'!$B$221:$B$223,0))),'Tabla Impacto'!$F$223&amp;"Por favor no seleccionar los criterios de impacto(Afectación Económica o presupuestal y Pérdida Reputacional)",M67)</f>
        <v xml:space="preserve"> El riesgo afecta la imagen de la entidad internamente, de conocimiento general, nivel interno, de junta directiva y accionistas y/o de proveedores</v>
      </c>
      <c r="O67" s="388" t="str">
        <f>IF(OR(N67='Tabla Impacto'!$C$11,N67='Tabla Impacto'!$D$11),"Leve",IF(OR(N67='Tabla Impacto'!$C$12,N67='Tabla Impacto'!$D$12),"Menor",IF(OR(N67='Tabla Impacto'!$C$13,N67='Tabla Impacto'!$D$13),"Moderado",IF(OR(N67='Tabla Impacto'!$C$14,N67='Tabla Impacto'!$D$14),"Mayor",IF(OR(N67='Tabla Impacto'!$C$15,N67='Tabla Impacto'!$D$15),"Catastrófico","")))))</f>
        <v>Menor</v>
      </c>
      <c r="P67" s="401">
        <f>IF(O67="","",IF(O67="Leve",0.2,IF(O67="Menor",0.4,IF(O67="Moderado",0.6,IF(O67="Mayor",0.8,IF(O67="Catastrófico",1,))))))</f>
        <v>0.4</v>
      </c>
      <c r="Q67" s="398" t="str">
        <f>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Moderado</v>
      </c>
      <c r="R67" s="126">
        <v>1</v>
      </c>
      <c r="S67" s="95" t="s">
        <v>533</v>
      </c>
      <c r="T67" s="127" t="str">
        <f t="shared" si="25"/>
        <v>Probabilidad</v>
      </c>
      <c r="U67" s="128" t="s">
        <v>15</v>
      </c>
      <c r="V67" s="128" t="s">
        <v>9</v>
      </c>
      <c r="W67" s="129" t="str">
        <f t="shared" si="26"/>
        <v>30%</v>
      </c>
      <c r="X67" s="128" t="s">
        <v>19</v>
      </c>
      <c r="Y67" s="128" t="s">
        <v>22</v>
      </c>
      <c r="Z67" s="128" t="s">
        <v>110</v>
      </c>
      <c r="AA67" s="130">
        <f t="shared" si="27"/>
        <v>0.28000000000000003</v>
      </c>
      <c r="AB67" s="131" t="str">
        <f t="shared" si="28"/>
        <v>Baja</v>
      </c>
      <c r="AC67" s="132">
        <f t="shared" si="29"/>
        <v>0.28000000000000003</v>
      </c>
      <c r="AD67" s="131" t="str">
        <f t="shared" si="30"/>
        <v>Menor</v>
      </c>
      <c r="AE67" s="132">
        <f t="shared" si="31"/>
        <v>0.4</v>
      </c>
      <c r="AF67" s="133" t="str">
        <f t="shared" si="32"/>
        <v>Moderado</v>
      </c>
      <c r="AG67" s="134" t="s">
        <v>122</v>
      </c>
      <c r="AH67" s="95" t="s">
        <v>534</v>
      </c>
      <c r="AI67" s="123" t="s">
        <v>260</v>
      </c>
      <c r="AJ67" s="135" t="s">
        <v>286</v>
      </c>
      <c r="AK67" s="135" t="s">
        <v>287</v>
      </c>
      <c r="AL67" s="95" t="s">
        <v>535</v>
      </c>
      <c r="AM67" s="95" t="s">
        <v>690</v>
      </c>
      <c r="AN67" s="95" t="s">
        <v>691</v>
      </c>
      <c r="AO67" s="218">
        <v>1</v>
      </c>
      <c r="AP67" s="95" t="s">
        <v>812</v>
      </c>
      <c r="AQ67" s="95" t="s">
        <v>813</v>
      </c>
      <c r="AR67" s="218">
        <v>1</v>
      </c>
      <c r="AS67" s="95"/>
      <c r="AT67" s="232" t="s">
        <v>629</v>
      </c>
      <c r="AU67" s="137" t="s">
        <v>630</v>
      </c>
      <c r="AV67" s="137" t="s">
        <v>630</v>
      </c>
      <c r="AW67" s="137" t="s">
        <v>630</v>
      </c>
      <c r="AX67" s="95"/>
    </row>
    <row r="68" spans="1:50" s="147" customFormat="1" ht="151.5" hidden="1" customHeight="1" x14ac:dyDescent="0.25">
      <c r="A68" s="410"/>
      <c r="B68" s="375"/>
      <c r="C68" s="409"/>
      <c r="D68" s="409"/>
      <c r="E68" s="394"/>
      <c r="F68" s="394"/>
      <c r="G68" s="394"/>
      <c r="H68" s="396"/>
      <c r="I68" s="394"/>
      <c r="J68" s="392"/>
      <c r="K68" s="389"/>
      <c r="L68" s="402"/>
      <c r="M68" s="405"/>
      <c r="N68" s="136"/>
      <c r="O68" s="389"/>
      <c r="P68" s="402"/>
      <c r="Q68" s="399"/>
      <c r="R68" s="126">
        <v>2</v>
      </c>
      <c r="S68" s="95"/>
      <c r="T68" s="127"/>
      <c r="U68" s="128"/>
      <c r="V68" s="128"/>
      <c r="W68" s="129"/>
      <c r="X68" s="128"/>
      <c r="Y68" s="128"/>
      <c r="Z68" s="128"/>
      <c r="AA68" s="130"/>
      <c r="AB68" s="131"/>
      <c r="AC68" s="132"/>
      <c r="AD68" s="131"/>
      <c r="AE68" s="132"/>
      <c r="AF68" s="133"/>
      <c r="AG68" s="134"/>
      <c r="AH68" s="95"/>
      <c r="AI68" s="123"/>
      <c r="AJ68" s="135"/>
      <c r="AK68" s="135"/>
      <c r="AL68" s="95"/>
      <c r="AM68" s="95"/>
      <c r="AN68" s="95"/>
      <c r="AO68" s="137"/>
      <c r="AP68" s="95"/>
      <c r="AQ68" s="95"/>
      <c r="AR68" s="137"/>
      <c r="AS68" s="95"/>
      <c r="AT68" s="232" t="s">
        <v>629</v>
      </c>
      <c r="AU68" s="137" t="s">
        <v>630</v>
      </c>
      <c r="AV68" s="137" t="s">
        <v>630</v>
      </c>
      <c r="AW68" s="137" t="s">
        <v>630</v>
      </c>
      <c r="AX68" s="95"/>
    </row>
    <row r="69" spans="1:50" s="147" customFormat="1" ht="151.5" hidden="1" customHeight="1" x14ac:dyDescent="0.25">
      <c r="A69" s="410"/>
      <c r="B69" s="376"/>
      <c r="C69" s="409"/>
      <c r="D69" s="409"/>
      <c r="E69" s="394"/>
      <c r="F69" s="394"/>
      <c r="G69" s="394"/>
      <c r="H69" s="396"/>
      <c r="I69" s="394"/>
      <c r="J69" s="392"/>
      <c r="K69" s="390"/>
      <c r="L69" s="403"/>
      <c r="M69" s="405"/>
      <c r="N69" s="136"/>
      <c r="O69" s="390"/>
      <c r="P69" s="403"/>
      <c r="Q69" s="400"/>
      <c r="R69" s="126">
        <v>3</v>
      </c>
      <c r="S69" s="95"/>
      <c r="T69" s="127"/>
      <c r="U69" s="128"/>
      <c r="V69" s="128"/>
      <c r="W69" s="129"/>
      <c r="X69" s="128"/>
      <c r="Y69" s="128"/>
      <c r="Z69" s="128"/>
      <c r="AA69" s="130"/>
      <c r="AB69" s="131"/>
      <c r="AC69" s="132"/>
      <c r="AD69" s="131"/>
      <c r="AE69" s="132"/>
      <c r="AF69" s="133"/>
      <c r="AG69" s="134"/>
      <c r="AH69" s="95"/>
      <c r="AI69" s="123"/>
      <c r="AJ69" s="135"/>
      <c r="AK69" s="135"/>
      <c r="AL69" s="95"/>
      <c r="AM69" s="95"/>
      <c r="AN69" s="95"/>
      <c r="AO69" s="137"/>
      <c r="AP69" s="95"/>
      <c r="AQ69" s="95"/>
      <c r="AR69" s="137"/>
      <c r="AS69" s="95"/>
      <c r="AT69" s="232" t="s">
        <v>629</v>
      </c>
      <c r="AU69" s="137" t="s">
        <v>630</v>
      </c>
      <c r="AV69" s="137" t="s">
        <v>630</v>
      </c>
      <c r="AW69" s="137" t="s">
        <v>630</v>
      </c>
      <c r="AX69" s="95"/>
    </row>
    <row r="70" spans="1:50" s="199" customFormat="1" ht="151.5" customHeight="1" x14ac:dyDescent="0.25">
      <c r="A70" s="440">
        <v>22</v>
      </c>
      <c r="B70" s="417" t="s">
        <v>281</v>
      </c>
      <c r="C70" s="420" t="s">
        <v>356</v>
      </c>
      <c r="D70" s="420" t="s">
        <v>388</v>
      </c>
      <c r="E70" s="395" t="s">
        <v>120</v>
      </c>
      <c r="F70" s="395" t="s">
        <v>537</v>
      </c>
      <c r="G70" s="395" t="s">
        <v>365</v>
      </c>
      <c r="H70" s="395" t="s">
        <v>536</v>
      </c>
      <c r="I70" s="395" t="s">
        <v>115</v>
      </c>
      <c r="J70" s="423">
        <v>20</v>
      </c>
      <c r="K70" s="425" t="str">
        <f>IF(J70&lt;=0,"",IF(J70&lt;=2,"Muy Baja",IF(J70&lt;=24,"Baja",IF(J70&lt;=500,"Media",IF(J70&lt;=5000,"Alta","Muy Alta")))))</f>
        <v>Baja</v>
      </c>
      <c r="L70" s="428">
        <f>IF(K70="","",IF(K70="Muy Baja",0.2,IF(K70="Baja",0.4,IF(K70="Media",0.6,IF(K70="Alta",0.8,IF(K70="Muy Alta",1,))))))</f>
        <v>0.4</v>
      </c>
      <c r="M70" s="431" t="s">
        <v>486</v>
      </c>
      <c r="N70" s="187" t="str">
        <f>IF(NOT(ISERROR(MATCH(M70,'Tabla Impacto'!$B$221:$B$223,0))),'Tabla Impacto'!$F$223&amp;"Por favor no seleccionar los criterios de impacto(Afectación Económica o presupuestal y Pérdida Reputacional)",M70)</f>
        <v xml:space="preserve"> El riesgo afecta la imagen de la entidad con algunos usuarios de relevancia frente al logro de los objetivos</v>
      </c>
      <c r="O70" s="425" t="str">
        <f>IF(OR(N70='Tabla Impacto'!$C$11,N70='Tabla Impacto'!$D$11),"Leve",IF(OR(N70='Tabla Impacto'!$C$12,N70='Tabla Impacto'!$D$12),"Menor",IF(OR(N70='Tabla Impacto'!$C$13,N70='Tabla Impacto'!$D$13),"Moderado",IF(OR(N70='Tabla Impacto'!$C$14,N70='Tabla Impacto'!$D$14),"Mayor",IF(OR(N70='Tabla Impacto'!$C$15,N70='Tabla Impacto'!$D$15),"Catastrófico","")))))</f>
        <v>Moderado</v>
      </c>
      <c r="P70" s="428">
        <f>IF(O70="","",IF(O70="Leve",0.2,IF(O70="Menor",0.4,IF(O70="Moderado",0.6,IF(O70="Mayor",0.8,IF(O70="Catastrófico",1,))))))</f>
        <v>0.6</v>
      </c>
      <c r="Q70" s="433" t="str">
        <f>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Moderado</v>
      </c>
      <c r="R70" s="189">
        <v>1</v>
      </c>
      <c r="S70" s="122" t="s">
        <v>538</v>
      </c>
      <c r="T70" s="190" t="str">
        <f t="shared" ref="T70:T76" si="95">IF(OR(U70="Preventivo",U70="Detectivo"),"Probabilidad",IF(U70="Correctivo","Impacto",""))</f>
        <v>Probabilidad</v>
      </c>
      <c r="U70" s="191" t="s">
        <v>15</v>
      </c>
      <c r="V70" s="191" t="s">
        <v>9</v>
      </c>
      <c r="W70" s="192" t="str">
        <f t="shared" ref="W70:W76" si="96">IF(AND(U70="Preventivo",V70="Automático"),"50%",IF(AND(U70="Preventivo",V70="Manual"),"40%",IF(AND(U70="Detectivo",V70="Automático"),"40%",IF(AND(U70="Detectivo",V70="Manual"),"30%",IF(AND(U70="Correctivo",V70="Automático"),"35%",IF(AND(U70="Correctivo",V70="Manual"),"25%",""))))))</f>
        <v>30%</v>
      </c>
      <c r="X70" s="191" t="s">
        <v>19</v>
      </c>
      <c r="Y70" s="191" t="s">
        <v>22</v>
      </c>
      <c r="Z70" s="191" t="s">
        <v>110</v>
      </c>
      <c r="AA70" s="144">
        <f t="shared" ref="AA70" si="97">IFERROR(IF(T70="Probabilidad",(L70-(+L70*W70)),IF(T70="Impacto",L70,"")),"")</f>
        <v>0.28000000000000003</v>
      </c>
      <c r="AB70" s="193" t="str">
        <f t="shared" ref="AB70:AB76" si="98">IFERROR(IF(AA70="","",IF(AA70&lt;=0.2,"Muy Baja",IF(AA70&lt;=0.4,"Baja",IF(AA70&lt;=0.6,"Media",IF(AA70&lt;=0.8,"Alta","Muy Alta"))))),"")</f>
        <v>Baja</v>
      </c>
      <c r="AC70" s="194">
        <f t="shared" ref="AC70:AC76" si="99">+AA70</f>
        <v>0.28000000000000003</v>
      </c>
      <c r="AD70" s="193" t="str">
        <f t="shared" ref="AD70:AD76" si="100">IFERROR(IF(AE70="","",IF(AE70&lt;=0.2,"Leve",IF(AE70&lt;=0.4,"Menor",IF(AE70&lt;=0.6,"Moderado",IF(AE70&lt;=0.8,"Mayor","Catastrófico"))))),"")</f>
        <v>Moderado</v>
      </c>
      <c r="AE70" s="194">
        <f t="shared" ref="AE70" si="101">IFERROR(IF(T70="Impacto",(P70-(+P70*W70)),IF(T70="Probabilidad",P70,"")),"")</f>
        <v>0.6</v>
      </c>
      <c r="AF70" s="195" t="str">
        <f t="shared" ref="AF70:AF76" si="102">IFERROR(IF(OR(AND(AB70="Muy Baja",AD70="Leve"),AND(AB70="Muy Baja",AD70="Menor"),AND(AB70="Baja",AD70="Leve")),"Bajo",IF(OR(AND(AB70="Muy baja",AD70="Moderado"),AND(AB70="Baja",AD70="Menor"),AND(AB70="Baja",AD70="Moderado"),AND(AB70="Media",AD70="Leve"),AND(AB70="Media",AD70="Menor"),AND(AB70="Media",AD70="Moderado"),AND(AB70="Alta",AD70="Leve"),AND(AB70="Alta",AD70="Menor")),"Moderado",IF(OR(AND(AB70="Muy Baja",AD70="Mayor"),AND(AB70="Baja",AD70="Mayor"),AND(AB70="Media",AD70="Mayor"),AND(AB70="Alta",AD70="Moderado"),AND(AB70="Alta",AD70="Mayor"),AND(AB70="Muy Alta",AD70="Leve"),AND(AB70="Muy Alta",AD70="Menor"),AND(AB70="Muy Alta",AD70="Moderado"),AND(AB70="Muy Alta",AD70="Mayor")),"Alto",IF(OR(AND(AB70="Muy Baja",AD70="Catastrófico"),AND(AB70="Baja",AD70="Catastrófico"),AND(AB70="Media",AD70="Catastrófico"),AND(AB70="Alta",AD70="Catastrófico"),AND(AB70="Muy Alta",AD70="Catastrófico")),"Extremo","")))),"")</f>
        <v>Moderado</v>
      </c>
      <c r="AG70" s="196" t="s">
        <v>122</v>
      </c>
      <c r="AH70" s="122" t="s">
        <v>539</v>
      </c>
      <c r="AI70" s="117" t="s">
        <v>212</v>
      </c>
      <c r="AJ70" s="124" t="s">
        <v>286</v>
      </c>
      <c r="AK70" s="124" t="s">
        <v>287</v>
      </c>
      <c r="AL70" s="122" t="s">
        <v>540</v>
      </c>
      <c r="AM70" s="95" t="s">
        <v>692</v>
      </c>
      <c r="AN70" s="95" t="s">
        <v>693</v>
      </c>
      <c r="AO70" s="218">
        <v>1</v>
      </c>
      <c r="AP70" s="122" t="s">
        <v>694</v>
      </c>
      <c r="AQ70" s="95" t="s">
        <v>814</v>
      </c>
      <c r="AR70" s="218">
        <v>1</v>
      </c>
      <c r="AS70" s="95"/>
      <c r="AT70" s="232" t="s">
        <v>629</v>
      </c>
      <c r="AU70" s="137" t="s">
        <v>630</v>
      </c>
      <c r="AV70" s="137" t="s">
        <v>630</v>
      </c>
      <c r="AW70" s="137" t="s">
        <v>630</v>
      </c>
      <c r="AX70" s="122" t="s">
        <v>869</v>
      </c>
    </row>
    <row r="71" spans="1:50" s="199" customFormat="1" ht="151.5" hidden="1" customHeight="1" x14ac:dyDescent="0.25">
      <c r="A71" s="440"/>
      <c r="B71" s="418"/>
      <c r="C71" s="421"/>
      <c r="D71" s="421"/>
      <c r="E71" s="396"/>
      <c r="F71" s="396"/>
      <c r="G71" s="396"/>
      <c r="H71" s="396"/>
      <c r="I71" s="396"/>
      <c r="J71" s="424"/>
      <c r="K71" s="426"/>
      <c r="L71" s="429"/>
      <c r="M71" s="432"/>
      <c r="N71" s="188"/>
      <c r="O71" s="426"/>
      <c r="P71" s="429"/>
      <c r="Q71" s="434"/>
      <c r="R71" s="189">
        <v>2</v>
      </c>
      <c r="S71" s="184"/>
      <c r="T71" s="176"/>
      <c r="U71" s="177"/>
      <c r="V71" s="177"/>
      <c r="W71" s="178"/>
      <c r="X71" s="177"/>
      <c r="Y71" s="177"/>
      <c r="Z71" s="177"/>
      <c r="AA71" s="179"/>
      <c r="AB71" s="180"/>
      <c r="AC71" s="181"/>
      <c r="AD71" s="180"/>
      <c r="AE71" s="181"/>
      <c r="AF71" s="182"/>
      <c r="AG71" s="183"/>
      <c r="AH71" s="184"/>
      <c r="AI71" s="185"/>
      <c r="AJ71" s="186"/>
      <c r="AK71" s="186"/>
      <c r="AL71" s="184"/>
      <c r="AM71" s="95"/>
      <c r="AN71" s="95"/>
      <c r="AO71" s="137"/>
      <c r="AP71" s="95"/>
      <c r="AQ71" s="95"/>
      <c r="AR71" s="137"/>
      <c r="AS71" s="95"/>
      <c r="AT71" s="232" t="s">
        <v>629</v>
      </c>
      <c r="AU71" s="137" t="s">
        <v>630</v>
      </c>
      <c r="AV71" s="137" t="s">
        <v>630</v>
      </c>
      <c r="AW71" s="137" t="s">
        <v>630</v>
      </c>
      <c r="AX71" s="234"/>
    </row>
    <row r="72" spans="1:50" s="199" customFormat="1" ht="151.5" hidden="1" customHeight="1" x14ac:dyDescent="0.25">
      <c r="A72" s="440"/>
      <c r="B72" s="419"/>
      <c r="C72" s="421"/>
      <c r="D72" s="421"/>
      <c r="E72" s="396"/>
      <c r="F72" s="396"/>
      <c r="G72" s="396"/>
      <c r="H72" s="396"/>
      <c r="I72" s="396"/>
      <c r="J72" s="424"/>
      <c r="K72" s="427"/>
      <c r="L72" s="430"/>
      <c r="M72" s="432"/>
      <c r="N72" s="188"/>
      <c r="O72" s="427"/>
      <c r="P72" s="430"/>
      <c r="Q72" s="435"/>
      <c r="R72" s="189">
        <v>3</v>
      </c>
      <c r="S72" s="184"/>
      <c r="T72" s="176"/>
      <c r="U72" s="177"/>
      <c r="V72" s="177"/>
      <c r="W72" s="178"/>
      <c r="X72" s="177"/>
      <c r="Y72" s="177"/>
      <c r="Z72" s="177"/>
      <c r="AA72" s="179"/>
      <c r="AB72" s="180"/>
      <c r="AC72" s="181"/>
      <c r="AD72" s="180"/>
      <c r="AE72" s="181"/>
      <c r="AF72" s="182"/>
      <c r="AG72" s="183"/>
      <c r="AH72" s="184"/>
      <c r="AI72" s="185"/>
      <c r="AJ72" s="186"/>
      <c r="AK72" s="186"/>
      <c r="AL72" s="184"/>
      <c r="AM72" s="95"/>
      <c r="AN72" s="95"/>
      <c r="AO72" s="137"/>
      <c r="AP72" s="95"/>
      <c r="AQ72" s="95"/>
      <c r="AR72" s="137"/>
      <c r="AS72" s="95"/>
      <c r="AT72" s="232" t="s">
        <v>629</v>
      </c>
      <c r="AU72" s="137" t="s">
        <v>630</v>
      </c>
      <c r="AV72" s="137" t="s">
        <v>630</v>
      </c>
      <c r="AW72" s="137" t="s">
        <v>630</v>
      </c>
      <c r="AX72" s="95"/>
    </row>
    <row r="73" spans="1:50" s="147" customFormat="1" ht="151.5" customHeight="1" x14ac:dyDescent="0.25">
      <c r="A73" s="410">
        <v>23</v>
      </c>
      <c r="B73" s="374" t="s">
        <v>285</v>
      </c>
      <c r="C73" s="406" t="s">
        <v>389</v>
      </c>
      <c r="D73" s="406" t="s">
        <v>390</v>
      </c>
      <c r="E73" s="393" t="s">
        <v>118</v>
      </c>
      <c r="F73" s="393" t="s">
        <v>331</v>
      </c>
      <c r="G73" s="393" t="s">
        <v>447</v>
      </c>
      <c r="H73" s="395" t="s">
        <v>565</v>
      </c>
      <c r="I73" s="393" t="s">
        <v>115</v>
      </c>
      <c r="J73" s="391">
        <v>30</v>
      </c>
      <c r="K73" s="388" t="str">
        <f>IF(J73&lt;=0,"",IF(J73&lt;=2,"Muy Baja",IF(J73&lt;=24,"Baja",IF(J73&lt;=500,"Media",IF(J73&lt;=5000,"Alta","Muy Alta")))))</f>
        <v>Media</v>
      </c>
      <c r="L73" s="401">
        <f>IF(K73="","",IF(K73="Muy Baja",0.2,IF(K73="Baja",0.4,IF(K73="Media",0.6,IF(K73="Alta",0.8,IF(K73="Muy Alta",1,))))))</f>
        <v>0.6</v>
      </c>
      <c r="M73" s="404" t="s">
        <v>493</v>
      </c>
      <c r="N73" s="125" t="str">
        <f>IF(NOT(ISERROR(MATCH(M73,'Tabla Impacto'!$B$221:$B$223,0))),'Tabla Impacto'!$F$223&amp;"Por favor no seleccionar los criterios de impacto(Afectación Económica o presupuestal y Pérdida Reputacional)",M73)</f>
        <v xml:space="preserve"> El riesgo afecta la imagen de la entidad con efecto publicitario sostenido a nivel de sector administrativo, nivel departamental o municipal</v>
      </c>
      <c r="O73" s="388" t="str">
        <f>IF(OR(N73='Tabla Impacto'!$C$11,N73='Tabla Impacto'!$D$11),"Leve",IF(OR(N73='Tabla Impacto'!$C$12,N73='Tabla Impacto'!$D$12),"Menor",IF(OR(N73='Tabla Impacto'!$C$13,N73='Tabla Impacto'!$D$13),"Moderado",IF(OR(N73='Tabla Impacto'!$C$14,N73='Tabla Impacto'!$D$14),"Mayor",IF(OR(N73='Tabla Impacto'!$C$15,N73='Tabla Impacto'!$D$15),"Catastrófico","")))))</f>
        <v>Mayor</v>
      </c>
      <c r="P73" s="401">
        <f>IF(O73="","",IF(O73="Leve",0.2,IF(O73="Menor",0.4,IF(O73="Moderado",0.6,IF(O73="Mayor",0.8,IF(O73="Catastrófico",1,))))))</f>
        <v>0.8</v>
      </c>
      <c r="Q73" s="398" t="str">
        <f>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Alto</v>
      </c>
      <c r="R73" s="126">
        <v>1</v>
      </c>
      <c r="S73" s="95" t="s">
        <v>586</v>
      </c>
      <c r="T73" s="127" t="str">
        <f t="shared" si="95"/>
        <v>Probabilidad</v>
      </c>
      <c r="U73" s="128" t="s">
        <v>14</v>
      </c>
      <c r="V73" s="128" t="s">
        <v>9</v>
      </c>
      <c r="W73" s="129" t="str">
        <f t="shared" si="96"/>
        <v>40%</v>
      </c>
      <c r="X73" s="128" t="s">
        <v>19</v>
      </c>
      <c r="Y73" s="128" t="s">
        <v>22</v>
      </c>
      <c r="Z73" s="128" t="s">
        <v>110</v>
      </c>
      <c r="AA73" s="130">
        <f t="shared" ref="AA73:AA76" si="103">IFERROR(IF(T73="Probabilidad",(L73-(+L73*W73)),IF(T73="Impacto",L73,"")),"")</f>
        <v>0.36</v>
      </c>
      <c r="AB73" s="131" t="str">
        <f t="shared" si="98"/>
        <v>Baja</v>
      </c>
      <c r="AC73" s="132">
        <f t="shared" si="99"/>
        <v>0.36</v>
      </c>
      <c r="AD73" s="131" t="str">
        <f t="shared" si="100"/>
        <v>Mayor</v>
      </c>
      <c r="AE73" s="132">
        <f t="shared" ref="AE73:AE76" si="104">IFERROR(IF(T73="Impacto",(P73-(+P73*W73)),IF(T73="Probabilidad",P73,"")),"")</f>
        <v>0.8</v>
      </c>
      <c r="AF73" s="133" t="str">
        <f t="shared" si="102"/>
        <v>Alto</v>
      </c>
      <c r="AG73" s="134" t="s">
        <v>122</v>
      </c>
      <c r="AH73" s="122" t="s">
        <v>566</v>
      </c>
      <c r="AI73" s="117" t="s">
        <v>212</v>
      </c>
      <c r="AJ73" s="124" t="s">
        <v>286</v>
      </c>
      <c r="AK73" s="124" t="s">
        <v>287</v>
      </c>
      <c r="AL73" s="122" t="s">
        <v>391</v>
      </c>
      <c r="AM73" s="95" t="s">
        <v>695</v>
      </c>
      <c r="AN73" s="227" t="s">
        <v>696</v>
      </c>
      <c r="AO73" s="218">
        <v>1</v>
      </c>
      <c r="AP73" s="122" t="s">
        <v>697</v>
      </c>
      <c r="AQ73" s="95" t="s">
        <v>698</v>
      </c>
      <c r="AR73" s="218">
        <v>1</v>
      </c>
      <c r="AS73" s="95"/>
      <c r="AT73" s="232" t="s">
        <v>629</v>
      </c>
      <c r="AU73" s="137" t="s">
        <v>630</v>
      </c>
      <c r="AV73" s="137" t="s">
        <v>630</v>
      </c>
      <c r="AW73" s="137" t="s">
        <v>630</v>
      </c>
      <c r="AX73" s="95"/>
    </row>
    <row r="74" spans="1:50" s="147" customFormat="1" ht="151.5" hidden="1" customHeight="1" x14ac:dyDescent="0.25">
      <c r="A74" s="410"/>
      <c r="B74" s="375"/>
      <c r="C74" s="407"/>
      <c r="D74" s="409"/>
      <c r="E74" s="394"/>
      <c r="F74" s="394"/>
      <c r="G74" s="394"/>
      <c r="H74" s="396"/>
      <c r="I74" s="394"/>
      <c r="J74" s="392"/>
      <c r="K74" s="389"/>
      <c r="L74" s="402"/>
      <c r="M74" s="405"/>
      <c r="N74" s="136"/>
      <c r="O74" s="389"/>
      <c r="P74" s="402"/>
      <c r="Q74" s="399"/>
      <c r="R74" s="126">
        <v>2</v>
      </c>
      <c r="S74" s="95"/>
      <c r="T74" s="127"/>
      <c r="U74" s="128"/>
      <c r="V74" s="128"/>
      <c r="W74" s="129"/>
      <c r="X74" s="128"/>
      <c r="Y74" s="128"/>
      <c r="Z74" s="128"/>
      <c r="AA74" s="130"/>
      <c r="AB74" s="131"/>
      <c r="AC74" s="132"/>
      <c r="AD74" s="131"/>
      <c r="AE74" s="132"/>
      <c r="AF74" s="133"/>
      <c r="AG74" s="134"/>
      <c r="AH74" s="122"/>
      <c r="AI74" s="117"/>
      <c r="AJ74" s="124"/>
      <c r="AK74" s="124"/>
      <c r="AL74" s="122"/>
      <c r="AM74" s="95"/>
      <c r="AN74" s="95"/>
      <c r="AO74" s="137"/>
      <c r="AP74" s="122"/>
      <c r="AQ74" s="95"/>
      <c r="AR74" s="218">
        <v>1</v>
      </c>
      <c r="AS74" s="95"/>
      <c r="AT74" s="232" t="s">
        <v>629</v>
      </c>
      <c r="AU74" s="137" t="s">
        <v>630</v>
      </c>
      <c r="AV74" s="137" t="s">
        <v>630</v>
      </c>
      <c r="AW74" s="137" t="s">
        <v>630</v>
      </c>
      <c r="AX74" s="95"/>
    </row>
    <row r="75" spans="1:50" s="147" customFormat="1" ht="151.5" hidden="1" customHeight="1" x14ac:dyDescent="0.25">
      <c r="A75" s="412"/>
      <c r="B75" s="376"/>
      <c r="C75" s="407"/>
      <c r="D75" s="409"/>
      <c r="E75" s="394"/>
      <c r="F75" s="394"/>
      <c r="G75" s="394"/>
      <c r="H75" s="396"/>
      <c r="I75" s="394"/>
      <c r="J75" s="392"/>
      <c r="K75" s="390"/>
      <c r="L75" s="403"/>
      <c r="M75" s="405"/>
      <c r="N75" s="136"/>
      <c r="O75" s="390"/>
      <c r="P75" s="403"/>
      <c r="Q75" s="400"/>
      <c r="R75" s="126">
        <v>3</v>
      </c>
      <c r="S75" s="95"/>
      <c r="T75" s="127"/>
      <c r="U75" s="128"/>
      <c r="V75" s="128"/>
      <c r="W75" s="129"/>
      <c r="X75" s="128"/>
      <c r="Y75" s="128"/>
      <c r="Z75" s="128"/>
      <c r="AA75" s="130"/>
      <c r="AB75" s="131"/>
      <c r="AC75" s="132"/>
      <c r="AD75" s="131"/>
      <c r="AE75" s="132"/>
      <c r="AF75" s="133"/>
      <c r="AG75" s="134"/>
      <c r="AH75" s="122"/>
      <c r="AI75" s="117"/>
      <c r="AJ75" s="124"/>
      <c r="AK75" s="124"/>
      <c r="AL75" s="122"/>
      <c r="AM75" s="95"/>
      <c r="AN75" s="95"/>
      <c r="AO75" s="137"/>
      <c r="AP75" s="122"/>
      <c r="AQ75" s="95"/>
      <c r="AR75" s="218">
        <v>1</v>
      </c>
      <c r="AS75" s="95"/>
      <c r="AT75" s="232" t="s">
        <v>629</v>
      </c>
      <c r="AU75" s="137" t="s">
        <v>630</v>
      </c>
      <c r="AV75" s="137" t="s">
        <v>630</v>
      </c>
      <c r="AW75" s="137" t="s">
        <v>630</v>
      </c>
      <c r="AX75" s="95"/>
    </row>
    <row r="76" spans="1:50" s="147" customFormat="1" ht="151.5" customHeight="1" x14ac:dyDescent="0.25">
      <c r="A76" s="411">
        <v>24</v>
      </c>
      <c r="B76" s="374" t="s">
        <v>285</v>
      </c>
      <c r="C76" s="406" t="s">
        <v>389</v>
      </c>
      <c r="D76" s="406" t="s">
        <v>390</v>
      </c>
      <c r="E76" s="393" t="s">
        <v>118</v>
      </c>
      <c r="F76" s="393" t="s">
        <v>288</v>
      </c>
      <c r="G76" s="393" t="s">
        <v>448</v>
      </c>
      <c r="H76" s="395" t="s">
        <v>392</v>
      </c>
      <c r="I76" s="393" t="s">
        <v>328</v>
      </c>
      <c r="J76" s="391">
        <v>12</v>
      </c>
      <c r="K76" s="388" t="str">
        <f>IF(J76&lt;=0,"",IF(J76&lt;=2,"Muy Baja",IF(J76&lt;=24,"Baja",IF(J76&lt;=500,"Media",IF(J76&lt;=5000,"Alta","Muy Alta")))))</f>
        <v>Baja</v>
      </c>
      <c r="L76" s="401">
        <f>IF(K76="","",IF(K76="Muy Baja",0.2,IF(K76="Baja",0.4,IF(K76="Media",0.6,IF(K76="Alta",0.8,IF(K76="Muy Alta",1,))))))</f>
        <v>0.4</v>
      </c>
      <c r="M76" s="404" t="s">
        <v>486</v>
      </c>
      <c r="N76" s="125" t="str">
        <f>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388" t="str">
        <f>IF(OR(N76='Tabla Impacto'!$C$11,N76='Tabla Impacto'!$D$11),"Leve",IF(OR(N76='Tabla Impacto'!$C$12,N76='Tabla Impacto'!$D$12),"Menor",IF(OR(N76='Tabla Impacto'!$C$13,N76='Tabla Impacto'!$D$13),"Moderado",IF(OR(N76='Tabla Impacto'!$C$14,N76='Tabla Impacto'!$D$14),"Mayor",IF(OR(N76='Tabla Impacto'!$C$15,N76='Tabla Impacto'!$D$15),"Catastrófico","")))))</f>
        <v>Moderado</v>
      </c>
      <c r="P76" s="401">
        <f>IF(O76="","",IF(O76="Leve",0.2,IF(O76="Menor",0.4,IF(O76="Moderado",0.6,IF(O76="Mayor",0.8,IF(O76="Catastrófico",1,))))))</f>
        <v>0.6</v>
      </c>
      <c r="Q76" s="398" t="str">
        <f>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26">
        <v>1</v>
      </c>
      <c r="S76" s="95" t="s">
        <v>567</v>
      </c>
      <c r="T76" s="127" t="str">
        <f t="shared" si="95"/>
        <v>Probabilidad</v>
      </c>
      <c r="U76" s="128" t="s">
        <v>14</v>
      </c>
      <c r="V76" s="128" t="s">
        <v>9</v>
      </c>
      <c r="W76" s="129" t="str">
        <f t="shared" si="96"/>
        <v>40%</v>
      </c>
      <c r="X76" s="128" t="s">
        <v>19</v>
      </c>
      <c r="Y76" s="128" t="s">
        <v>22</v>
      </c>
      <c r="Z76" s="128" t="s">
        <v>110</v>
      </c>
      <c r="AA76" s="130">
        <f t="shared" si="103"/>
        <v>0.24</v>
      </c>
      <c r="AB76" s="131" t="str">
        <f t="shared" si="98"/>
        <v>Baja</v>
      </c>
      <c r="AC76" s="132">
        <f t="shared" si="99"/>
        <v>0.24</v>
      </c>
      <c r="AD76" s="131" t="str">
        <f t="shared" si="100"/>
        <v>Moderado</v>
      </c>
      <c r="AE76" s="132">
        <f t="shared" si="104"/>
        <v>0.6</v>
      </c>
      <c r="AF76" s="133" t="str">
        <f t="shared" si="102"/>
        <v>Moderado</v>
      </c>
      <c r="AG76" s="134" t="s">
        <v>122</v>
      </c>
      <c r="AH76" s="95" t="s">
        <v>393</v>
      </c>
      <c r="AI76" s="123" t="s">
        <v>198</v>
      </c>
      <c r="AJ76" s="135" t="s">
        <v>199</v>
      </c>
      <c r="AK76" s="135" t="s">
        <v>199</v>
      </c>
      <c r="AL76" s="95" t="s">
        <v>289</v>
      </c>
      <c r="AM76" s="95" t="s">
        <v>699</v>
      </c>
      <c r="AN76" s="227" t="s">
        <v>700</v>
      </c>
      <c r="AO76" s="218">
        <v>1</v>
      </c>
      <c r="AP76" s="122" t="s">
        <v>815</v>
      </c>
      <c r="AQ76" s="95" t="s">
        <v>701</v>
      </c>
      <c r="AR76" s="218">
        <v>1</v>
      </c>
      <c r="AT76" s="232" t="s">
        <v>629</v>
      </c>
      <c r="AU76" s="137" t="s">
        <v>630</v>
      </c>
      <c r="AV76" s="137" t="s">
        <v>630</v>
      </c>
      <c r="AW76" s="137" t="s">
        <v>630</v>
      </c>
      <c r="AX76" s="95"/>
    </row>
    <row r="77" spans="1:50" s="147" customFormat="1" ht="151.5" hidden="1" customHeight="1" x14ac:dyDescent="0.25">
      <c r="A77" s="410"/>
      <c r="B77" s="375"/>
      <c r="C77" s="407"/>
      <c r="D77" s="409"/>
      <c r="E77" s="394"/>
      <c r="F77" s="394"/>
      <c r="G77" s="394"/>
      <c r="H77" s="396"/>
      <c r="I77" s="394"/>
      <c r="J77" s="392"/>
      <c r="K77" s="389"/>
      <c r="L77" s="402"/>
      <c r="M77" s="405"/>
      <c r="N77" s="136"/>
      <c r="O77" s="389"/>
      <c r="P77" s="402"/>
      <c r="Q77" s="399"/>
      <c r="R77" s="126">
        <v>2</v>
      </c>
      <c r="S77" s="95"/>
      <c r="T77" s="127" t="str">
        <f t="shared" ref="T77:T78" si="105">IF(OR(U77="Preventivo",U77="Detectivo"),"Probabilidad",IF(U77="Correctivo","Impacto",""))</f>
        <v/>
      </c>
      <c r="U77" s="128"/>
      <c r="V77" s="128"/>
      <c r="W77" s="129"/>
      <c r="X77" s="128"/>
      <c r="Y77" s="128"/>
      <c r="Z77" s="128"/>
      <c r="AA77" s="130" t="str">
        <f>IFERROR(IF(T77="Probabilidad",(AA76-(+AA76*W77)),IF(T77="Impacto",L77,"")),"")</f>
        <v/>
      </c>
      <c r="AB77" s="131" t="str">
        <f t="shared" ref="AB77:AB78" si="106">IFERROR(IF(AA77="","",IF(AA77&lt;=0.2,"Muy Baja",IF(AA77&lt;=0.4,"Baja",IF(AA77&lt;=0.6,"Media",IF(AA77&lt;=0.8,"Alta","Muy Alta"))))),"")</f>
        <v/>
      </c>
      <c r="AC77" s="132" t="str">
        <f t="shared" ref="AC77:AC78" si="107">+AA77</f>
        <v/>
      </c>
      <c r="AD77" s="131" t="str">
        <f t="shared" ref="AD77:AD78" si="108">IFERROR(IF(AE77="","",IF(AE77&lt;=0.2,"Leve",IF(AE77&lt;=0.4,"Menor",IF(AE77&lt;=0.6,"Moderado",IF(AE77&lt;=0.8,"Mayor","Catastrófico"))))),"")</f>
        <v/>
      </c>
      <c r="AE77" s="132" t="str">
        <f t="shared" ref="AE77:AE78" si="109">IFERROR(IF(T77="Impacto",(P77-(+P77*W77)),IF(T77="Probabilidad",P77,"")),"")</f>
        <v/>
      </c>
      <c r="AF77" s="133" t="str">
        <f t="shared" ref="AF77:AF78" si="110">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
      </c>
      <c r="AG77" s="134"/>
      <c r="AH77" s="95"/>
      <c r="AI77" s="123"/>
      <c r="AJ77" s="135"/>
      <c r="AK77" s="135"/>
      <c r="AL77" s="95"/>
      <c r="AM77" s="95"/>
      <c r="AN77" s="95"/>
      <c r="AO77" s="137"/>
      <c r="AP77" s="122"/>
      <c r="AQ77" s="95"/>
      <c r="AR77" s="137"/>
      <c r="AS77" s="95"/>
      <c r="AT77" s="232" t="s">
        <v>629</v>
      </c>
      <c r="AU77" s="137" t="s">
        <v>630</v>
      </c>
      <c r="AV77" s="137" t="s">
        <v>630</v>
      </c>
      <c r="AW77" s="137" t="s">
        <v>630</v>
      </c>
      <c r="AX77" s="95"/>
    </row>
    <row r="78" spans="1:50" s="147" customFormat="1" ht="151.5" hidden="1" customHeight="1" x14ac:dyDescent="0.25">
      <c r="A78" s="410"/>
      <c r="B78" s="376"/>
      <c r="C78" s="407"/>
      <c r="D78" s="409"/>
      <c r="E78" s="394"/>
      <c r="F78" s="394"/>
      <c r="G78" s="394"/>
      <c r="H78" s="396"/>
      <c r="I78" s="394"/>
      <c r="J78" s="392"/>
      <c r="K78" s="390"/>
      <c r="L78" s="403"/>
      <c r="M78" s="405"/>
      <c r="N78" s="136"/>
      <c r="O78" s="390"/>
      <c r="P78" s="403"/>
      <c r="Q78" s="400"/>
      <c r="R78" s="126">
        <v>3</v>
      </c>
      <c r="S78" s="95"/>
      <c r="T78" s="127" t="str">
        <f t="shared" si="105"/>
        <v/>
      </c>
      <c r="U78" s="128"/>
      <c r="V78" s="128"/>
      <c r="W78" s="129"/>
      <c r="X78" s="128"/>
      <c r="Y78" s="128"/>
      <c r="Z78" s="128"/>
      <c r="AA78" s="130" t="str">
        <f>IFERROR(IF(T78="Probabilidad",(AA77-(+AA77*W78)),IF(T78="Impacto",L78,"")),"")</f>
        <v/>
      </c>
      <c r="AB78" s="131" t="str">
        <f t="shared" si="106"/>
        <v/>
      </c>
      <c r="AC78" s="132" t="str">
        <f t="shared" si="107"/>
        <v/>
      </c>
      <c r="AD78" s="131" t="str">
        <f t="shared" si="108"/>
        <v/>
      </c>
      <c r="AE78" s="132" t="str">
        <f t="shared" si="109"/>
        <v/>
      </c>
      <c r="AF78" s="133" t="str">
        <f t="shared" si="110"/>
        <v/>
      </c>
      <c r="AG78" s="134"/>
      <c r="AH78" s="95"/>
      <c r="AI78" s="123"/>
      <c r="AJ78" s="135"/>
      <c r="AK78" s="135"/>
      <c r="AL78" s="95"/>
      <c r="AM78" s="95"/>
      <c r="AN78" s="95"/>
      <c r="AO78" s="137"/>
      <c r="AP78" s="122"/>
      <c r="AQ78" s="95"/>
      <c r="AR78" s="137"/>
      <c r="AS78" s="95"/>
      <c r="AT78" s="232" t="s">
        <v>629</v>
      </c>
      <c r="AU78" s="137" t="s">
        <v>630</v>
      </c>
      <c r="AV78" s="137" t="s">
        <v>630</v>
      </c>
      <c r="AW78" s="137" t="s">
        <v>630</v>
      </c>
      <c r="AX78" s="95"/>
    </row>
    <row r="79" spans="1:50" s="147" customFormat="1" ht="151.5" customHeight="1" x14ac:dyDescent="0.25">
      <c r="A79" s="410">
        <v>25</v>
      </c>
      <c r="B79" s="374" t="s">
        <v>285</v>
      </c>
      <c r="C79" s="406" t="s">
        <v>389</v>
      </c>
      <c r="D79" s="406" t="s">
        <v>390</v>
      </c>
      <c r="E79" s="393" t="s">
        <v>120</v>
      </c>
      <c r="F79" s="393" t="s">
        <v>450</v>
      </c>
      <c r="G79" s="393" t="s">
        <v>449</v>
      </c>
      <c r="H79" s="395" t="s">
        <v>397</v>
      </c>
      <c r="I79" s="393" t="s">
        <v>328</v>
      </c>
      <c r="J79" s="391">
        <v>12</v>
      </c>
      <c r="K79" s="388" t="str">
        <f>IF(J79&lt;=0,"",IF(J79&lt;=2,"Muy Baja",IF(J79&lt;=24,"Baja",IF(J79&lt;=500,"Media",IF(J79&lt;=5000,"Alta","Muy Alta")))))</f>
        <v>Baja</v>
      </c>
      <c r="L79" s="401">
        <f>IF(K79="","",IF(K79="Muy Baja",0.2,IF(K79="Baja",0.4,IF(K79="Media",0.6,IF(K79="Alta",0.8,IF(K79="Muy Alta",1,))))))</f>
        <v>0.4</v>
      </c>
      <c r="M79" s="404" t="s">
        <v>486</v>
      </c>
      <c r="N79" s="125" t="str">
        <f>IF(NOT(ISERROR(MATCH(M79,'Tabla Impacto'!$B$221:$B$223,0))),'Tabla Impacto'!$F$223&amp;"Por favor no seleccionar los criterios de impacto(Afectación Económica o presupuestal y Pérdida Reputacional)",M79)</f>
        <v xml:space="preserve"> El riesgo afecta la imagen de la entidad con algunos usuarios de relevancia frente al logro de los objetivos</v>
      </c>
      <c r="O79" s="388" t="str">
        <f>IF(OR(N79='Tabla Impacto'!$C$11,N79='Tabla Impacto'!$D$11),"Leve",IF(OR(N79='Tabla Impacto'!$C$12,N79='Tabla Impacto'!$D$12),"Menor",IF(OR(N79='Tabla Impacto'!$C$13,N79='Tabla Impacto'!$D$13),"Moderado",IF(OR(N79='Tabla Impacto'!$C$14,N79='Tabla Impacto'!$D$14),"Mayor",IF(OR(N79='Tabla Impacto'!$C$15,N79='Tabla Impacto'!$D$15),"Catastrófico","")))))</f>
        <v>Moderado</v>
      </c>
      <c r="P79" s="401">
        <f>IF(O79="","",IF(O79="Leve",0.2,IF(O79="Menor",0.4,IF(O79="Moderado",0.6,IF(O79="Mayor",0.8,IF(O79="Catastrófico",1,))))))</f>
        <v>0.6</v>
      </c>
      <c r="Q79" s="398" t="str">
        <f>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26">
        <v>1</v>
      </c>
      <c r="S79" s="95" t="s">
        <v>340</v>
      </c>
      <c r="T79" s="127" t="str">
        <f t="shared" si="25"/>
        <v>Probabilidad</v>
      </c>
      <c r="U79" s="128" t="s">
        <v>14</v>
      </c>
      <c r="V79" s="128" t="s">
        <v>9</v>
      </c>
      <c r="W79" s="129" t="str">
        <f t="shared" si="26"/>
        <v>40%</v>
      </c>
      <c r="X79" s="128" t="s">
        <v>19</v>
      </c>
      <c r="Y79" s="128" t="s">
        <v>22</v>
      </c>
      <c r="Z79" s="128" t="s">
        <v>110</v>
      </c>
      <c r="AA79" s="130">
        <f t="shared" si="27"/>
        <v>0.24</v>
      </c>
      <c r="AB79" s="131" t="str">
        <f t="shared" si="28"/>
        <v>Baja</v>
      </c>
      <c r="AC79" s="132">
        <f t="shared" si="29"/>
        <v>0.24</v>
      </c>
      <c r="AD79" s="131" t="str">
        <f t="shared" si="30"/>
        <v>Moderado</v>
      </c>
      <c r="AE79" s="132">
        <f t="shared" si="31"/>
        <v>0.6</v>
      </c>
      <c r="AF79" s="133" t="str">
        <f t="shared" si="32"/>
        <v>Moderado</v>
      </c>
      <c r="AG79" s="134" t="s">
        <v>122</v>
      </c>
      <c r="AH79" s="95" t="s">
        <v>290</v>
      </c>
      <c r="AI79" s="137" t="s">
        <v>260</v>
      </c>
      <c r="AJ79" s="135" t="s">
        <v>286</v>
      </c>
      <c r="AK79" s="135" t="s">
        <v>287</v>
      </c>
      <c r="AL79" s="95" t="s">
        <v>291</v>
      </c>
      <c r="AM79" s="95" t="s">
        <v>816</v>
      </c>
      <c r="AN79" s="227" t="s">
        <v>702</v>
      </c>
      <c r="AO79" s="218">
        <v>1</v>
      </c>
      <c r="AP79" s="122" t="s">
        <v>703</v>
      </c>
      <c r="AQ79" s="95" t="s">
        <v>704</v>
      </c>
      <c r="AR79" s="218">
        <v>1</v>
      </c>
      <c r="AS79" s="95"/>
      <c r="AT79" s="232" t="s">
        <v>629</v>
      </c>
      <c r="AU79" s="137" t="s">
        <v>630</v>
      </c>
      <c r="AV79" s="137" t="s">
        <v>630</v>
      </c>
      <c r="AW79" s="137" t="s">
        <v>630</v>
      </c>
      <c r="AX79" s="95"/>
    </row>
    <row r="80" spans="1:50" s="147" customFormat="1" ht="151.5" customHeight="1" x14ac:dyDescent="0.25">
      <c r="A80" s="410"/>
      <c r="B80" s="375"/>
      <c r="C80" s="407"/>
      <c r="D80" s="409"/>
      <c r="E80" s="394"/>
      <c r="F80" s="394"/>
      <c r="G80" s="394"/>
      <c r="H80" s="396"/>
      <c r="I80" s="394"/>
      <c r="J80" s="392"/>
      <c r="K80" s="389"/>
      <c r="L80" s="402"/>
      <c r="M80" s="405"/>
      <c r="N80" s="136"/>
      <c r="O80" s="389"/>
      <c r="P80" s="402"/>
      <c r="Q80" s="399"/>
      <c r="R80" s="126">
        <v>2</v>
      </c>
      <c r="S80" s="95" t="s">
        <v>394</v>
      </c>
      <c r="T80" s="127" t="str">
        <f t="shared" ref="T80:T81" si="111">IF(OR(U80="Preventivo",U80="Detectivo"),"Probabilidad",IF(U80="Correctivo","Impacto",""))</f>
        <v>Probabilidad</v>
      </c>
      <c r="U80" s="128" t="s">
        <v>15</v>
      </c>
      <c r="V80" s="128" t="s">
        <v>9</v>
      </c>
      <c r="W80" s="129" t="str">
        <f t="shared" ref="W80:W81" si="112">IF(AND(U80="Preventivo",V80="Automático"),"50%",IF(AND(U80="Preventivo",V80="Manual"),"40%",IF(AND(U80="Detectivo",V80="Automático"),"40%",IF(AND(U80="Detectivo",V80="Manual"),"30%",IF(AND(U80="Correctivo",V80="Automático"),"35%",IF(AND(U80="Correctivo",V80="Manual"),"25%",""))))))</f>
        <v>30%</v>
      </c>
      <c r="X80" s="128" t="s">
        <v>20</v>
      </c>
      <c r="Y80" s="128" t="s">
        <v>23</v>
      </c>
      <c r="Z80" s="128" t="s">
        <v>110</v>
      </c>
      <c r="AA80" s="130">
        <f>IFERROR(IF(T80="Probabilidad",(AA79-(+AA79*W80)),IF(T80="Impacto",L80,"")),"")</f>
        <v>0.16799999999999998</v>
      </c>
      <c r="AB80" s="131" t="str">
        <f t="shared" ref="AB80:AB81" si="113">IFERROR(IF(AA80="","",IF(AA80&lt;=0.2,"Muy Baja",IF(AA80&lt;=0.4,"Baja",IF(AA80&lt;=0.6,"Media",IF(AA80&lt;=0.8,"Alta","Muy Alta"))))),"")</f>
        <v>Muy Baja</v>
      </c>
      <c r="AC80" s="132">
        <f t="shared" ref="AC80:AC81" si="114">+AA80</f>
        <v>0.16799999999999998</v>
      </c>
      <c r="AD80" s="131" t="str">
        <f t="shared" ref="AD80:AD81" si="115">IFERROR(IF(AE80="","",IF(AE80&lt;=0.2,"Leve",IF(AE80&lt;=0.4,"Menor",IF(AE80&lt;=0.6,"Moderado",IF(AE80&lt;=0.8,"Mayor","Catastrófico"))))),"")</f>
        <v>Moderado</v>
      </c>
      <c r="AE80" s="132">
        <v>0.6</v>
      </c>
      <c r="AF80" s="133" t="str">
        <f t="shared" ref="AF80:AF81" si="116">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34" t="s">
        <v>122</v>
      </c>
      <c r="AH80" s="95" t="s">
        <v>395</v>
      </c>
      <c r="AI80" s="137" t="s">
        <v>260</v>
      </c>
      <c r="AJ80" s="135" t="s">
        <v>286</v>
      </c>
      <c r="AK80" s="135" t="s">
        <v>287</v>
      </c>
      <c r="AL80" s="95" t="s">
        <v>291</v>
      </c>
      <c r="AM80" s="95" t="s">
        <v>705</v>
      </c>
      <c r="AN80" s="227" t="s">
        <v>817</v>
      </c>
      <c r="AO80" s="218">
        <v>1</v>
      </c>
      <c r="AP80" s="95" t="s">
        <v>706</v>
      </c>
      <c r="AQ80" s="95" t="s">
        <v>707</v>
      </c>
      <c r="AR80" s="218">
        <v>1</v>
      </c>
      <c r="AS80" s="95"/>
      <c r="AT80" s="232" t="s">
        <v>629</v>
      </c>
      <c r="AU80" s="137" t="s">
        <v>630</v>
      </c>
      <c r="AV80" s="137" t="s">
        <v>630</v>
      </c>
      <c r="AW80" s="137" t="s">
        <v>630</v>
      </c>
      <c r="AX80" s="95"/>
    </row>
    <row r="81" spans="1:50" s="147" customFormat="1" ht="151.5" customHeight="1" x14ac:dyDescent="0.25">
      <c r="A81" s="410"/>
      <c r="B81" s="376"/>
      <c r="C81" s="407"/>
      <c r="D81" s="409"/>
      <c r="E81" s="394"/>
      <c r="F81" s="394"/>
      <c r="G81" s="394"/>
      <c r="H81" s="396"/>
      <c r="I81" s="394"/>
      <c r="J81" s="392"/>
      <c r="K81" s="390"/>
      <c r="L81" s="403"/>
      <c r="M81" s="405"/>
      <c r="N81" s="136"/>
      <c r="O81" s="390"/>
      <c r="P81" s="403"/>
      <c r="Q81" s="400"/>
      <c r="R81" s="126">
        <v>3</v>
      </c>
      <c r="S81" s="95" t="s">
        <v>341</v>
      </c>
      <c r="T81" s="127" t="str">
        <f t="shared" si="111"/>
        <v>Probabilidad</v>
      </c>
      <c r="U81" s="128" t="s">
        <v>14</v>
      </c>
      <c r="V81" s="128" t="s">
        <v>9</v>
      </c>
      <c r="W81" s="129" t="str">
        <f t="shared" si="112"/>
        <v>40%</v>
      </c>
      <c r="X81" s="128" t="s">
        <v>19</v>
      </c>
      <c r="Y81" s="128" t="s">
        <v>22</v>
      </c>
      <c r="Z81" s="128" t="s">
        <v>110</v>
      </c>
      <c r="AA81" s="130">
        <f>IFERROR(IF(T81="Probabilidad",(AA80-(+AA80*W81)),IF(T81="Impacto",L81,"")),"")</f>
        <v>0.10079999999999999</v>
      </c>
      <c r="AB81" s="131" t="str">
        <f t="shared" si="113"/>
        <v>Muy Baja</v>
      </c>
      <c r="AC81" s="132">
        <f t="shared" si="114"/>
        <v>0.10079999999999999</v>
      </c>
      <c r="AD81" s="131" t="str">
        <f t="shared" si="115"/>
        <v>Moderado</v>
      </c>
      <c r="AE81" s="132">
        <v>0.6</v>
      </c>
      <c r="AF81" s="133" t="str">
        <f t="shared" si="116"/>
        <v>Moderado</v>
      </c>
      <c r="AG81" s="134" t="s">
        <v>122</v>
      </c>
      <c r="AH81" s="95" t="s">
        <v>396</v>
      </c>
      <c r="AI81" s="235" t="s">
        <v>260</v>
      </c>
      <c r="AJ81" s="236" t="s">
        <v>286</v>
      </c>
      <c r="AK81" s="236" t="s">
        <v>287</v>
      </c>
      <c r="AL81" s="237" t="s">
        <v>291</v>
      </c>
      <c r="AM81" s="237" t="s">
        <v>708</v>
      </c>
      <c r="AN81" s="238" t="s">
        <v>709</v>
      </c>
      <c r="AO81" s="239">
        <v>1</v>
      </c>
      <c r="AP81" s="237" t="s">
        <v>818</v>
      </c>
      <c r="AQ81" s="240" t="s">
        <v>710</v>
      </c>
      <c r="AR81" s="239">
        <v>1</v>
      </c>
      <c r="AS81" s="237"/>
      <c r="AT81" s="241" t="s">
        <v>629</v>
      </c>
      <c r="AU81" s="235" t="s">
        <v>630</v>
      </c>
      <c r="AV81" s="235" t="s">
        <v>630</v>
      </c>
      <c r="AW81" s="235" t="s">
        <v>630</v>
      </c>
      <c r="AX81" s="237" t="s">
        <v>804</v>
      </c>
    </row>
    <row r="82" spans="1:50" s="147" customFormat="1" ht="151.5" customHeight="1" x14ac:dyDescent="0.25">
      <c r="A82" s="410">
        <v>26</v>
      </c>
      <c r="B82" s="338" t="s">
        <v>292</v>
      </c>
      <c r="C82" s="406" t="s">
        <v>357</v>
      </c>
      <c r="D82" s="406" t="s">
        <v>398</v>
      </c>
      <c r="E82" s="393" t="s">
        <v>120</v>
      </c>
      <c r="F82" s="393" t="s">
        <v>293</v>
      </c>
      <c r="G82" s="393" t="s">
        <v>294</v>
      </c>
      <c r="H82" s="395" t="s">
        <v>560</v>
      </c>
      <c r="I82" s="393" t="s">
        <v>115</v>
      </c>
      <c r="J82" s="391">
        <v>2</v>
      </c>
      <c r="K82" s="388" t="str">
        <f>IF(J82&lt;=0,"",IF(J82&lt;=2,"Muy Baja",IF(J82&lt;=24,"Baja",IF(J82&lt;=500,"Media",IF(J82&lt;=5000,"Alta","Muy Alta")))))</f>
        <v>Muy Baja</v>
      </c>
      <c r="L82" s="401">
        <f>IF(K82="","",IF(K82="Muy Baja",0.2,IF(K82="Baja",0.4,IF(K82="Media",0.6,IF(K82="Alta",0.8,IF(K82="Muy Alta",1,))))))</f>
        <v>0.2</v>
      </c>
      <c r="M82" s="404" t="s">
        <v>485</v>
      </c>
      <c r="N82" s="125" t="str">
        <f>IF(NOT(ISERROR(MATCH(M82,'Tabla Impacto'!$B$221:$B$223,0))),'Tabla Impacto'!$F$223&amp;"Por favor no seleccionar los criterios de impacto(Afectación Económica o presupuestal y Pérdida Reputacional)",M82)</f>
        <v xml:space="preserve"> Entre 50 y 100 SMLMV </v>
      </c>
      <c r="O82" s="388" t="str">
        <f>IF(OR(N82='Tabla Impacto'!$C$11,N82='Tabla Impacto'!$D$11),"Leve",IF(OR(N82='Tabla Impacto'!$C$12,N82='Tabla Impacto'!$D$12),"Menor",IF(OR(N82='Tabla Impacto'!$C$13,N82='Tabla Impacto'!$D$13),"Moderado",IF(OR(N82='Tabla Impacto'!$C$14,N82='Tabla Impacto'!$D$14),"Mayor",IF(OR(N82='Tabla Impacto'!$C$15,N82='Tabla Impacto'!$D$15),"Catastrófico","")))))</f>
        <v>Moderado</v>
      </c>
      <c r="P82" s="401">
        <f>IF(O82="","",IF(O82="Leve",0.2,IF(O82="Menor",0.4,IF(O82="Moderado",0.6,IF(O82="Mayor",0.8,IF(O82="Catastrófico",1,))))))</f>
        <v>0.6</v>
      </c>
      <c r="Q82" s="398" t="str">
        <f>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26">
        <v>1</v>
      </c>
      <c r="S82" s="95" t="s">
        <v>561</v>
      </c>
      <c r="T82" s="127" t="str">
        <f t="shared" si="25"/>
        <v>Probabilidad</v>
      </c>
      <c r="U82" s="128" t="s">
        <v>14</v>
      </c>
      <c r="V82" s="128" t="s">
        <v>9</v>
      </c>
      <c r="W82" s="129" t="str">
        <f t="shared" si="26"/>
        <v>40%</v>
      </c>
      <c r="X82" s="128" t="s">
        <v>20</v>
      </c>
      <c r="Y82" s="128" t="s">
        <v>22</v>
      </c>
      <c r="Z82" s="128" t="s">
        <v>110</v>
      </c>
      <c r="AA82" s="130">
        <f t="shared" si="27"/>
        <v>0.12</v>
      </c>
      <c r="AB82" s="131" t="str">
        <f t="shared" si="28"/>
        <v>Muy Baja</v>
      </c>
      <c r="AC82" s="132">
        <f t="shared" si="29"/>
        <v>0.12</v>
      </c>
      <c r="AD82" s="131" t="str">
        <f t="shared" si="30"/>
        <v>Moderado</v>
      </c>
      <c r="AE82" s="132">
        <f t="shared" si="31"/>
        <v>0.6</v>
      </c>
      <c r="AF82" s="133" t="str">
        <f t="shared" si="32"/>
        <v>Moderado</v>
      </c>
      <c r="AG82" s="134" t="s">
        <v>122</v>
      </c>
      <c r="AH82" s="95" t="s">
        <v>562</v>
      </c>
      <c r="AI82" s="123" t="s">
        <v>260</v>
      </c>
      <c r="AJ82" s="124">
        <v>44562</v>
      </c>
      <c r="AK82" s="139" t="s">
        <v>373</v>
      </c>
      <c r="AL82" s="95" t="s">
        <v>451</v>
      </c>
      <c r="AM82" s="216" t="s">
        <v>819</v>
      </c>
      <c r="AN82" s="216" t="s">
        <v>685</v>
      </c>
      <c r="AO82" s="218">
        <v>1</v>
      </c>
      <c r="AP82" s="216" t="s">
        <v>686</v>
      </c>
      <c r="AQ82" s="216" t="s">
        <v>687</v>
      </c>
      <c r="AR82" s="218">
        <v>1</v>
      </c>
      <c r="AS82" s="95"/>
      <c r="AT82" s="232" t="s">
        <v>629</v>
      </c>
      <c r="AU82" s="137" t="s">
        <v>630</v>
      </c>
      <c r="AV82" s="137" t="s">
        <v>630</v>
      </c>
      <c r="AW82" s="137" t="s">
        <v>630</v>
      </c>
      <c r="AX82" s="95"/>
    </row>
    <row r="83" spans="1:50" s="147" customFormat="1" ht="151.5" customHeight="1" x14ac:dyDescent="0.25">
      <c r="A83" s="410"/>
      <c r="B83" s="339"/>
      <c r="C83" s="409"/>
      <c r="D83" s="409"/>
      <c r="E83" s="394"/>
      <c r="F83" s="394"/>
      <c r="G83" s="394"/>
      <c r="H83" s="396"/>
      <c r="I83" s="394"/>
      <c r="J83" s="392"/>
      <c r="K83" s="389"/>
      <c r="L83" s="402"/>
      <c r="M83" s="405"/>
      <c r="N83" s="136"/>
      <c r="O83" s="389"/>
      <c r="P83" s="402"/>
      <c r="Q83" s="399"/>
      <c r="R83" s="126">
        <v>2</v>
      </c>
      <c r="S83" s="95" t="s">
        <v>342</v>
      </c>
      <c r="T83" s="127" t="str">
        <f t="shared" ref="T83:T85" si="117">IF(OR(U83="Preventivo",U83="Detectivo"),"Probabilidad",IF(U83="Correctivo","Impacto",""))</f>
        <v>Probabilidad</v>
      </c>
      <c r="U83" s="128" t="s">
        <v>14</v>
      </c>
      <c r="V83" s="128" t="s">
        <v>9</v>
      </c>
      <c r="W83" s="129" t="str">
        <f t="shared" ref="W83:W85" si="118">IF(AND(U83="Preventivo",V83="Automático"),"50%",IF(AND(U83="Preventivo",V83="Manual"),"40%",IF(AND(U83="Detectivo",V83="Automático"),"40%",IF(AND(U83="Detectivo",V83="Manual"),"30%",IF(AND(U83="Correctivo",V83="Automático"),"35%",IF(AND(U83="Correctivo",V83="Manual"),"25%",""))))))</f>
        <v>40%</v>
      </c>
      <c r="X83" s="128" t="s">
        <v>19</v>
      </c>
      <c r="Y83" s="128" t="s">
        <v>22</v>
      </c>
      <c r="Z83" s="128" t="s">
        <v>110</v>
      </c>
      <c r="AA83" s="130">
        <f>IFERROR(IF(T83="Probabilidad",(AA82-(+AA82*W83)),IF(T83="Impacto",L83,"")),"")</f>
        <v>7.1999999999999995E-2</v>
      </c>
      <c r="AB83" s="131" t="str">
        <f t="shared" ref="AB83:AB85" si="119">IFERROR(IF(AA83="","",IF(AA83&lt;=0.2,"Muy Baja",IF(AA83&lt;=0.4,"Baja",IF(AA83&lt;=0.6,"Media",IF(AA83&lt;=0.8,"Alta","Muy Alta"))))),"")</f>
        <v>Muy Baja</v>
      </c>
      <c r="AC83" s="132">
        <f t="shared" ref="AC83:AC85" si="120">+AA83</f>
        <v>7.1999999999999995E-2</v>
      </c>
      <c r="AD83" s="131" t="str">
        <f t="shared" ref="AD83:AD85" si="121">IFERROR(IF(AE83="","",IF(AE83&lt;=0.2,"Leve",IF(AE83&lt;=0.4,"Menor",IF(AE83&lt;=0.6,"Moderado",IF(AE83&lt;=0.8,"Mayor","Catastrófico"))))),"")</f>
        <v>Moderado</v>
      </c>
      <c r="AE83" s="132">
        <f>+AE82</f>
        <v>0.6</v>
      </c>
      <c r="AF83" s="133" t="str">
        <f t="shared" ref="AF83:AF85" si="122">IFERROR(IF(OR(AND(AB83="Muy Baja",AD83="Leve"),AND(AB83="Muy Baja",AD83="Menor"),AND(AB83="Baja",AD83="Leve")),"Bajo",IF(OR(AND(AB83="Muy baja",AD83="Moderado"),AND(AB83="Baja",AD83="Menor"),AND(AB83="Baja",AD83="Moderado"),AND(AB83="Media",AD83="Leve"),AND(AB83="Media",AD83="Menor"),AND(AB83="Media",AD83="Moderado"),AND(AB83="Alta",AD83="Leve"),AND(AB83="Alta",AD83="Menor")),"Moderado",IF(OR(AND(AB83="Muy Baja",AD83="Mayor"),AND(AB83="Baja",AD83="Mayor"),AND(AB83="Media",AD83="Mayor"),AND(AB83="Alta",AD83="Moderado"),AND(AB83="Alta",AD83="Mayor"),AND(AB83="Muy Alta",AD83="Leve"),AND(AB83="Muy Alta",AD83="Menor"),AND(AB83="Muy Alta",AD83="Moderado"),AND(AB83="Muy Alta",AD83="Mayor")),"Alto",IF(OR(AND(AB83="Muy Baja",AD83="Catastrófico"),AND(AB83="Baja",AD83="Catastrófico"),AND(AB83="Media",AD83="Catastrófico"),AND(AB83="Alta",AD83="Catastrófico"),AND(AB83="Muy Alta",AD83="Catastrófico")),"Extremo","")))),"")</f>
        <v>Moderado</v>
      </c>
      <c r="AG83" s="134" t="s">
        <v>122</v>
      </c>
      <c r="AH83" s="95" t="s">
        <v>563</v>
      </c>
      <c r="AI83" s="123" t="s">
        <v>399</v>
      </c>
      <c r="AJ83" s="124">
        <v>44562</v>
      </c>
      <c r="AK83" s="139" t="s">
        <v>373</v>
      </c>
      <c r="AL83" s="95" t="s">
        <v>451</v>
      </c>
      <c r="AM83" s="95" t="s">
        <v>820</v>
      </c>
      <c r="AN83" s="95" t="s">
        <v>793</v>
      </c>
      <c r="AO83" s="218">
        <v>1</v>
      </c>
      <c r="AP83" s="95" t="s">
        <v>821</v>
      </c>
      <c r="AQ83" s="216" t="s">
        <v>687</v>
      </c>
      <c r="AR83" s="218">
        <v>1</v>
      </c>
      <c r="AS83" s="95"/>
      <c r="AT83" s="232" t="s">
        <v>629</v>
      </c>
      <c r="AU83" s="137" t="s">
        <v>630</v>
      </c>
      <c r="AV83" s="137" t="s">
        <v>630</v>
      </c>
      <c r="AW83" s="137" t="s">
        <v>630</v>
      </c>
      <c r="AX83" s="95" t="s">
        <v>870</v>
      </c>
    </row>
    <row r="84" spans="1:50" s="147" customFormat="1" ht="151.5" customHeight="1" x14ac:dyDescent="0.25">
      <c r="A84" s="410"/>
      <c r="B84" s="340"/>
      <c r="C84" s="409"/>
      <c r="D84" s="409"/>
      <c r="E84" s="394"/>
      <c r="F84" s="394"/>
      <c r="G84" s="394"/>
      <c r="H84" s="396"/>
      <c r="I84" s="394"/>
      <c r="J84" s="392"/>
      <c r="K84" s="390"/>
      <c r="L84" s="403"/>
      <c r="M84" s="405"/>
      <c r="N84" s="136"/>
      <c r="O84" s="390"/>
      <c r="P84" s="403"/>
      <c r="Q84" s="400"/>
      <c r="R84" s="126">
        <v>3</v>
      </c>
      <c r="S84" s="122" t="s">
        <v>587</v>
      </c>
      <c r="T84" s="127" t="str">
        <f t="shared" si="117"/>
        <v>Probabilidad</v>
      </c>
      <c r="U84" s="128" t="s">
        <v>15</v>
      </c>
      <c r="V84" s="128" t="s">
        <v>9</v>
      </c>
      <c r="W84" s="129" t="str">
        <f t="shared" si="118"/>
        <v>30%</v>
      </c>
      <c r="X84" s="128" t="s">
        <v>20</v>
      </c>
      <c r="Y84" s="128" t="s">
        <v>23</v>
      </c>
      <c r="Z84" s="128" t="s">
        <v>111</v>
      </c>
      <c r="AA84" s="130">
        <f>IFERROR(IF(T84="Probabilidad",(AA83-(+AA83*W84)),IF(T84="Impacto",L84,"")),"")</f>
        <v>5.04E-2</v>
      </c>
      <c r="AB84" s="131" t="str">
        <f t="shared" si="119"/>
        <v>Muy Baja</v>
      </c>
      <c r="AC84" s="132">
        <f t="shared" si="120"/>
        <v>5.04E-2</v>
      </c>
      <c r="AD84" s="131" t="str">
        <f t="shared" si="121"/>
        <v>Moderado</v>
      </c>
      <c r="AE84" s="132">
        <f>+P82</f>
        <v>0.6</v>
      </c>
      <c r="AF84" s="133" t="str">
        <f t="shared" si="122"/>
        <v>Moderado</v>
      </c>
      <c r="AG84" s="134" t="s">
        <v>122</v>
      </c>
      <c r="AH84" s="95" t="s">
        <v>562</v>
      </c>
      <c r="AI84" s="123" t="s">
        <v>399</v>
      </c>
      <c r="AJ84" s="124">
        <v>44562</v>
      </c>
      <c r="AK84" s="139" t="s">
        <v>373</v>
      </c>
      <c r="AL84" s="95" t="s">
        <v>451</v>
      </c>
      <c r="AM84" s="95" t="s">
        <v>822</v>
      </c>
      <c r="AN84" s="95" t="s">
        <v>794</v>
      </c>
      <c r="AO84" s="218">
        <v>1</v>
      </c>
      <c r="AP84" s="95" t="s">
        <v>795</v>
      </c>
      <c r="AQ84" s="95" t="s">
        <v>796</v>
      </c>
      <c r="AR84" s="218">
        <v>1</v>
      </c>
      <c r="AS84" s="95"/>
      <c r="AT84" s="232" t="s">
        <v>629</v>
      </c>
      <c r="AU84" s="137" t="s">
        <v>630</v>
      </c>
      <c r="AV84" s="137" t="s">
        <v>630</v>
      </c>
      <c r="AW84" s="137" t="s">
        <v>630</v>
      </c>
      <c r="AX84" s="95"/>
    </row>
    <row r="85" spans="1:50" s="147" customFormat="1" ht="151.5" customHeight="1" x14ac:dyDescent="0.25">
      <c r="A85" s="410">
        <v>27</v>
      </c>
      <c r="B85" s="338" t="s">
        <v>292</v>
      </c>
      <c r="C85" s="406" t="s">
        <v>357</v>
      </c>
      <c r="D85" s="406" t="s">
        <v>398</v>
      </c>
      <c r="E85" s="393" t="s">
        <v>118</v>
      </c>
      <c r="F85" s="393" t="s">
        <v>452</v>
      </c>
      <c r="G85" s="393" t="s">
        <v>453</v>
      </c>
      <c r="H85" s="395" t="s">
        <v>454</v>
      </c>
      <c r="I85" s="393" t="s">
        <v>328</v>
      </c>
      <c r="J85" s="391">
        <v>10</v>
      </c>
      <c r="K85" s="388" t="str">
        <f>IF(J85&lt;=0,"",IF(J85&lt;=2,"Muy Baja",IF(J85&lt;=24,"Baja",IF(J85&lt;=500,"Media",IF(J85&lt;=5000,"Alta","Muy Alta")))))</f>
        <v>Baja</v>
      </c>
      <c r="L85" s="401">
        <f>IF(K85="","",IF(K85="Muy Baja",0.2,IF(K85="Baja",0.4,IF(K85="Media",0.6,IF(K85="Alta",0.8,IF(K85="Muy Alta",1,))))))</f>
        <v>0.4</v>
      </c>
      <c r="M85" s="404" t="s">
        <v>486</v>
      </c>
      <c r="N85" s="125" t="str">
        <f>IF(NOT(ISERROR(MATCH(M85,'Tabla Impacto'!$B$221:$B$223,0))),'Tabla Impacto'!$F$223&amp;"Por favor no seleccionar los criterios de impacto(Afectación Económica o presupuestal y Pérdida Reputacional)",M85)</f>
        <v xml:space="preserve"> El riesgo afecta la imagen de la entidad con algunos usuarios de relevancia frente al logro de los objetivos</v>
      </c>
      <c r="O85" s="388" t="str">
        <f>IF(OR(N85='Tabla Impacto'!$C$11,N85='Tabla Impacto'!$D$11),"Leve",IF(OR(N85='Tabla Impacto'!$C$12,N85='Tabla Impacto'!$D$12),"Menor",IF(OR(N85='Tabla Impacto'!$C$13,N85='Tabla Impacto'!$D$13),"Moderado",IF(OR(N85='Tabla Impacto'!$C$14,N85='Tabla Impacto'!$D$14),"Mayor",IF(OR(N85='Tabla Impacto'!$C$15,N85='Tabla Impacto'!$D$15),"Catastrófico","")))))</f>
        <v>Moderado</v>
      </c>
      <c r="P85" s="401">
        <f>IF(O85="","",IF(O85="Leve",0.2,IF(O85="Menor",0.4,IF(O85="Moderado",0.6,IF(O85="Mayor",0.8,IF(O85="Catastrófico",1,))))))</f>
        <v>0.6</v>
      </c>
      <c r="Q85" s="398" t="str">
        <f>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Moderado</v>
      </c>
      <c r="R85" s="126">
        <v>1</v>
      </c>
      <c r="S85" s="95" t="s">
        <v>459</v>
      </c>
      <c r="T85" s="127" t="str">
        <f t="shared" si="117"/>
        <v>Probabilidad</v>
      </c>
      <c r="U85" s="128" t="s">
        <v>15</v>
      </c>
      <c r="V85" s="128" t="s">
        <v>9</v>
      </c>
      <c r="W85" s="129" t="str">
        <f t="shared" si="118"/>
        <v>30%</v>
      </c>
      <c r="X85" s="128" t="s">
        <v>20</v>
      </c>
      <c r="Y85" s="128" t="s">
        <v>23</v>
      </c>
      <c r="Z85" s="128" t="s">
        <v>111</v>
      </c>
      <c r="AA85" s="140">
        <f t="shared" ref="AA85" si="123">IFERROR(IF(T85="Probabilidad",(L85-(+L85*W85)),IF(T85="Impacto",L85,"")),"")</f>
        <v>0.28000000000000003</v>
      </c>
      <c r="AB85" s="131" t="str">
        <f t="shared" si="119"/>
        <v>Baja</v>
      </c>
      <c r="AC85" s="132">
        <f t="shared" si="120"/>
        <v>0.28000000000000003</v>
      </c>
      <c r="AD85" s="131" t="str">
        <f t="shared" si="121"/>
        <v>Moderado</v>
      </c>
      <c r="AE85" s="132">
        <f t="shared" ref="AE85" si="124">IFERROR(IF(T85="Impacto",(P85-(+P85*W85)),IF(T85="Probabilidad",P85,"")),"")</f>
        <v>0.6</v>
      </c>
      <c r="AF85" s="133" t="str">
        <f t="shared" si="122"/>
        <v>Moderado</v>
      </c>
      <c r="AG85" s="134" t="s">
        <v>122</v>
      </c>
      <c r="AH85" s="95" t="s">
        <v>564</v>
      </c>
      <c r="AI85" s="123" t="s">
        <v>198</v>
      </c>
      <c r="AJ85" s="124">
        <v>44562</v>
      </c>
      <c r="AK85" s="139" t="s">
        <v>373</v>
      </c>
      <c r="AL85" s="95" t="s">
        <v>455</v>
      </c>
      <c r="AM85" s="216" t="s">
        <v>823</v>
      </c>
      <c r="AN85" s="216" t="s">
        <v>685</v>
      </c>
      <c r="AO85" s="218">
        <v>1</v>
      </c>
      <c r="AP85" s="216" t="s">
        <v>824</v>
      </c>
      <c r="AQ85" s="216" t="s">
        <v>688</v>
      </c>
      <c r="AR85" s="218">
        <v>1</v>
      </c>
      <c r="AS85" s="95"/>
      <c r="AT85" s="232" t="s">
        <v>629</v>
      </c>
      <c r="AU85" s="137" t="s">
        <v>630</v>
      </c>
      <c r="AV85" s="137" t="s">
        <v>630</v>
      </c>
      <c r="AW85" s="137" t="s">
        <v>630</v>
      </c>
      <c r="AX85" s="95"/>
    </row>
    <row r="86" spans="1:50" s="147" customFormat="1" ht="151.5" hidden="1" customHeight="1" x14ac:dyDescent="0.25">
      <c r="A86" s="410"/>
      <c r="B86" s="339"/>
      <c r="C86" s="409"/>
      <c r="D86" s="409"/>
      <c r="E86" s="394"/>
      <c r="F86" s="394"/>
      <c r="G86" s="394"/>
      <c r="H86" s="396"/>
      <c r="I86" s="394"/>
      <c r="J86" s="392"/>
      <c r="K86" s="389"/>
      <c r="L86" s="402"/>
      <c r="M86" s="405"/>
      <c r="N86" s="136"/>
      <c r="O86" s="389"/>
      <c r="P86" s="402"/>
      <c r="Q86" s="399"/>
      <c r="R86" s="126">
        <v>2</v>
      </c>
      <c r="S86" s="95"/>
      <c r="T86" s="127"/>
      <c r="U86" s="128"/>
      <c r="V86" s="128"/>
      <c r="W86" s="129"/>
      <c r="X86" s="128"/>
      <c r="Y86" s="128"/>
      <c r="Z86" s="128"/>
      <c r="AA86" s="140"/>
      <c r="AB86" s="131"/>
      <c r="AC86" s="132"/>
      <c r="AD86" s="131"/>
      <c r="AE86" s="132"/>
      <c r="AF86" s="133"/>
      <c r="AG86" s="134"/>
      <c r="AH86" s="95"/>
      <c r="AI86" s="123"/>
      <c r="AJ86" s="124"/>
      <c r="AK86" s="139"/>
      <c r="AL86" s="95"/>
      <c r="AM86" s="95"/>
      <c r="AN86" s="95"/>
      <c r="AO86" s="218">
        <v>1</v>
      </c>
      <c r="AP86" s="95"/>
      <c r="AQ86" s="95"/>
      <c r="AR86" s="218">
        <v>1</v>
      </c>
      <c r="AS86" s="95"/>
      <c r="AT86" s="232" t="s">
        <v>629</v>
      </c>
      <c r="AU86" s="137" t="s">
        <v>630</v>
      </c>
      <c r="AV86" s="137" t="s">
        <v>630</v>
      </c>
      <c r="AW86" s="137" t="s">
        <v>630</v>
      </c>
      <c r="AX86" s="95"/>
    </row>
    <row r="87" spans="1:50" s="147" customFormat="1" ht="151.5" hidden="1" customHeight="1" x14ac:dyDescent="0.25">
      <c r="A87" s="410"/>
      <c r="B87" s="340"/>
      <c r="C87" s="409"/>
      <c r="D87" s="409"/>
      <c r="E87" s="394"/>
      <c r="F87" s="394"/>
      <c r="G87" s="394"/>
      <c r="H87" s="396"/>
      <c r="I87" s="394"/>
      <c r="J87" s="392"/>
      <c r="K87" s="390"/>
      <c r="L87" s="403"/>
      <c r="M87" s="405"/>
      <c r="N87" s="136"/>
      <c r="O87" s="390"/>
      <c r="P87" s="403"/>
      <c r="Q87" s="400"/>
      <c r="R87" s="126">
        <v>3</v>
      </c>
      <c r="S87" s="95"/>
      <c r="T87" s="127"/>
      <c r="U87" s="128"/>
      <c r="V87" s="128"/>
      <c r="W87" s="129"/>
      <c r="X87" s="128"/>
      <c r="Y87" s="128"/>
      <c r="Z87" s="128"/>
      <c r="AA87" s="140"/>
      <c r="AB87" s="131"/>
      <c r="AC87" s="132"/>
      <c r="AD87" s="131"/>
      <c r="AE87" s="132"/>
      <c r="AF87" s="133"/>
      <c r="AG87" s="134"/>
      <c r="AH87" s="95"/>
      <c r="AI87" s="123"/>
      <c r="AJ87" s="124"/>
      <c r="AK87" s="139"/>
      <c r="AL87" s="95"/>
      <c r="AM87" s="95"/>
      <c r="AN87" s="95"/>
      <c r="AO87" s="218">
        <v>1</v>
      </c>
      <c r="AP87" s="95"/>
      <c r="AQ87" s="95"/>
      <c r="AR87" s="218">
        <v>1</v>
      </c>
      <c r="AS87" s="95"/>
      <c r="AT87" s="232" t="s">
        <v>629</v>
      </c>
      <c r="AU87" s="137" t="s">
        <v>630</v>
      </c>
      <c r="AV87" s="137" t="s">
        <v>630</v>
      </c>
      <c r="AW87" s="137" t="s">
        <v>630</v>
      </c>
      <c r="AX87" s="95"/>
    </row>
    <row r="88" spans="1:50" s="147" customFormat="1" ht="151.5" customHeight="1" x14ac:dyDescent="0.25">
      <c r="A88" s="410">
        <v>28</v>
      </c>
      <c r="B88" s="374" t="s">
        <v>296</v>
      </c>
      <c r="C88" s="406" t="s">
        <v>295</v>
      </c>
      <c r="D88" s="406" t="s">
        <v>297</v>
      </c>
      <c r="E88" s="393" t="s">
        <v>118</v>
      </c>
      <c r="F88" s="393" t="s">
        <v>298</v>
      </c>
      <c r="G88" s="393" t="s">
        <v>456</v>
      </c>
      <c r="H88" s="395" t="s">
        <v>299</v>
      </c>
      <c r="I88" s="393" t="s">
        <v>115</v>
      </c>
      <c r="J88" s="391">
        <v>355</v>
      </c>
      <c r="K88" s="388" t="str">
        <f>IF(J88&lt;=0,"",IF(J88&lt;=2,"Muy Baja",IF(J88&lt;=24,"Baja",IF(J88&lt;=500,"Media",IF(J88&lt;=5000,"Alta","Muy Alta")))))</f>
        <v>Media</v>
      </c>
      <c r="L88" s="401">
        <f>IF(K88="","",IF(K88="Muy Baja",0.2,IF(K88="Baja",0.4,IF(K88="Media",0.6,IF(K88="Alta",0.8,IF(K88="Muy Alta",1,))))))</f>
        <v>0.6</v>
      </c>
      <c r="M88" s="404" t="s">
        <v>493</v>
      </c>
      <c r="N88" s="125" t="str">
        <f>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388" t="str">
        <f>IF(OR(N88='Tabla Impacto'!$C$11,N88='Tabla Impacto'!$D$11),"Leve",IF(OR(N88='Tabla Impacto'!$C$12,N88='Tabla Impacto'!$D$12),"Menor",IF(OR(N88='Tabla Impacto'!$C$13,N88='Tabla Impacto'!$D$13),"Moderado",IF(OR(N88='Tabla Impacto'!$C$14,N88='Tabla Impacto'!$D$14),"Mayor",IF(OR(N88='Tabla Impacto'!$C$15,N88='Tabla Impacto'!$D$15),"Catastrófico","")))))</f>
        <v>Mayor</v>
      </c>
      <c r="P88" s="401">
        <f>IF(O88="","",IF(O88="Leve",0.2,IF(O88="Menor",0.4,IF(O88="Moderado",0.6,IF(O88="Mayor",0.8,IF(O88="Catastrófico",1,))))))</f>
        <v>0.8</v>
      </c>
      <c r="Q88" s="398" t="str">
        <f>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26">
        <v>1</v>
      </c>
      <c r="S88" s="95" t="s">
        <v>457</v>
      </c>
      <c r="T88" s="127" t="str">
        <f t="shared" si="25"/>
        <v>Probabilidad</v>
      </c>
      <c r="U88" s="128" t="s">
        <v>14</v>
      </c>
      <c r="V88" s="128" t="s">
        <v>9</v>
      </c>
      <c r="W88" s="129" t="str">
        <f t="shared" si="26"/>
        <v>40%</v>
      </c>
      <c r="X88" s="128" t="s">
        <v>20</v>
      </c>
      <c r="Y88" s="128" t="s">
        <v>22</v>
      </c>
      <c r="Z88" s="128" t="s">
        <v>110</v>
      </c>
      <c r="AA88" s="130">
        <f t="shared" si="27"/>
        <v>0.36</v>
      </c>
      <c r="AB88" s="131" t="str">
        <f t="shared" si="28"/>
        <v>Baja</v>
      </c>
      <c r="AC88" s="132">
        <f t="shared" si="29"/>
        <v>0.36</v>
      </c>
      <c r="AD88" s="131" t="str">
        <f t="shared" si="30"/>
        <v>Mayor</v>
      </c>
      <c r="AE88" s="132">
        <f t="shared" si="31"/>
        <v>0.8</v>
      </c>
      <c r="AF88" s="133" t="str">
        <f t="shared" si="32"/>
        <v>Alto</v>
      </c>
      <c r="AG88" s="134" t="s">
        <v>122</v>
      </c>
      <c r="AH88" s="95" t="s">
        <v>458</v>
      </c>
      <c r="AI88" s="123" t="s">
        <v>260</v>
      </c>
      <c r="AJ88" s="135" t="s">
        <v>199</v>
      </c>
      <c r="AK88" s="135" t="s">
        <v>199</v>
      </c>
      <c r="AL88" s="122" t="s">
        <v>300</v>
      </c>
      <c r="AM88" s="216" t="s">
        <v>825</v>
      </c>
      <c r="AN88" s="216" t="s">
        <v>826</v>
      </c>
      <c r="AO88" s="218">
        <v>1</v>
      </c>
      <c r="AP88" s="216" t="s">
        <v>827</v>
      </c>
      <c r="AQ88" s="216" t="s">
        <v>828</v>
      </c>
      <c r="AR88" s="218">
        <v>1</v>
      </c>
      <c r="AS88" s="95"/>
      <c r="AT88" s="232" t="s">
        <v>629</v>
      </c>
      <c r="AU88" s="137" t="s">
        <v>630</v>
      </c>
      <c r="AV88" s="137" t="s">
        <v>630</v>
      </c>
      <c r="AW88" s="137" t="s">
        <v>630</v>
      </c>
      <c r="AX88" s="95"/>
    </row>
    <row r="89" spans="1:50" s="147" customFormat="1" ht="151.5" hidden="1" customHeight="1" x14ac:dyDescent="0.25">
      <c r="A89" s="410"/>
      <c r="B89" s="375"/>
      <c r="C89" s="407"/>
      <c r="D89" s="407"/>
      <c r="E89" s="394"/>
      <c r="F89" s="394"/>
      <c r="G89" s="394"/>
      <c r="H89" s="396"/>
      <c r="I89" s="394"/>
      <c r="J89" s="392"/>
      <c r="K89" s="389"/>
      <c r="L89" s="402"/>
      <c r="M89" s="405"/>
      <c r="N89" s="136"/>
      <c r="O89" s="389"/>
      <c r="P89" s="402"/>
      <c r="Q89" s="399"/>
      <c r="R89" s="126">
        <v>2</v>
      </c>
      <c r="S89" s="95"/>
      <c r="T89" s="127" t="str">
        <f t="shared" ref="T89:T90" si="125">IF(OR(U89="Preventivo",U89="Detectivo"),"Probabilidad",IF(U89="Correctivo","Impacto",""))</f>
        <v/>
      </c>
      <c r="U89" s="128"/>
      <c r="V89" s="128"/>
      <c r="W89" s="129"/>
      <c r="X89" s="128"/>
      <c r="Y89" s="128"/>
      <c r="Z89" s="128"/>
      <c r="AA89" s="130" t="str">
        <f>IFERROR(IF(T89="Probabilidad",(AA88-(+AA88*W89)),IF(T89="Impacto",L89,"")),"")</f>
        <v/>
      </c>
      <c r="AB89" s="131" t="str">
        <f t="shared" ref="AB89:AB90" si="126">IFERROR(IF(AA89="","",IF(AA89&lt;=0.2,"Muy Baja",IF(AA89&lt;=0.4,"Baja",IF(AA89&lt;=0.6,"Media",IF(AA89&lt;=0.8,"Alta","Muy Alta"))))),"")</f>
        <v/>
      </c>
      <c r="AC89" s="132" t="str">
        <f t="shared" ref="AC89:AC90" si="127">+AA89</f>
        <v/>
      </c>
      <c r="AD89" s="131" t="str">
        <f t="shared" ref="AD89:AD90" si="128">IFERROR(IF(AE89="","",IF(AE89&lt;=0.2,"Leve",IF(AE89&lt;=0.4,"Menor",IF(AE89&lt;=0.6,"Moderado",IF(AE89&lt;=0.8,"Mayor","Catastrófico"))))),"")</f>
        <v/>
      </c>
      <c r="AE89" s="132" t="str">
        <f t="shared" ref="AE89:AE90" si="129">IFERROR(IF(T89="Impacto",(P89-(+P89*W89)),IF(T89="Probabilidad",P89,"")),"")</f>
        <v/>
      </c>
      <c r="AF89" s="133" t="str">
        <f t="shared" ref="AF89:AF90" si="130">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
      </c>
      <c r="AG89" s="134"/>
      <c r="AH89" s="95"/>
      <c r="AI89" s="123"/>
      <c r="AJ89" s="135"/>
      <c r="AK89" s="135"/>
      <c r="AL89" s="95"/>
      <c r="AM89" s="95"/>
      <c r="AN89" s="95"/>
      <c r="AO89" s="218">
        <v>1</v>
      </c>
      <c r="AP89" s="95"/>
      <c r="AQ89" s="95"/>
      <c r="AR89" s="218">
        <v>1</v>
      </c>
      <c r="AS89" s="95"/>
      <c r="AT89" s="232" t="s">
        <v>629</v>
      </c>
      <c r="AU89" s="137" t="s">
        <v>630</v>
      </c>
      <c r="AV89" s="137" t="s">
        <v>630</v>
      </c>
      <c r="AW89" s="137" t="s">
        <v>630</v>
      </c>
      <c r="AX89" s="95"/>
    </row>
    <row r="90" spans="1:50" s="147" customFormat="1" ht="151.5" hidden="1" customHeight="1" x14ac:dyDescent="0.25">
      <c r="A90" s="410"/>
      <c r="B90" s="376"/>
      <c r="C90" s="408"/>
      <c r="D90" s="407"/>
      <c r="E90" s="394"/>
      <c r="F90" s="394"/>
      <c r="G90" s="394"/>
      <c r="H90" s="396"/>
      <c r="I90" s="394"/>
      <c r="J90" s="392"/>
      <c r="K90" s="390"/>
      <c r="L90" s="403"/>
      <c r="M90" s="405"/>
      <c r="N90" s="136"/>
      <c r="O90" s="390"/>
      <c r="P90" s="403"/>
      <c r="Q90" s="400"/>
      <c r="R90" s="126">
        <v>3</v>
      </c>
      <c r="S90" s="95"/>
      <c r="T90" s="127" t="str">
        <f t="shared" si="125"/>
        <v/>
      </c>
      <c r="U90" s="128"/>
      <c r="V90" s="128"/>
      <c r="W90" s="129"/>
      <c r="X90" s="128"/>
      <c r="Y90" s="128"/>
      <c r="Z90" s="128"/>
      <c r="AA90" s="130" t="str">
        <f>IFERROR(IF(T90="Probabilidad",(AA89-(+AA89*W90)),IF(T90="Impacto",L90,"")),"")</f>
        <v/>
      </c>
      <c r="AB90" s="131" t="str">
        <f t="shared" si="126"/>
        <v/>
      </c>
      <c r="AC90" s="132" t="str">
        <f t="shared" si="127"/>
        <v/>
      </c>
      <c r="AD90" s="131" t="str">
        <f t="shared" si="128"/>
        <v/>
      </c>
      <c r="AE90" s="132" t="str">
        <f t="shared" si="129"/>
        <v/>
      </c>
      <c r="AF90" s="133" t="str">
        <f t="shared" si="130"/>
        <v/>
      </c>
      <c r="AG90" s="134"/>
      <c r="AH90" s="95"/>
      <c r="AI90" s="123"/>
      <c r="AJ90" s="135"/>
      <c r="AK90" s="135"/>
      <c r="AL90" s="95"/>
      <c r="AM90" s="95"/>
      <c r="AN90" s="95"/>
      <c r="AO90" s="218">
        <v>1</v>
      </c>
      <c r="AP90" s="95"/>
      <c r="AQ90" s="95"/>
      <c r="AR90" s="218">
        <v>1</v>
      </c>
      <c r="AS90" s="95"/>
      <c r="AT90" s="232" t="s">
        <v>629</v>
      </c>
      <c r="AU90" s="137" t="s">
        <v>630</v>
      </c>
      <c r="AV90" s="137" t="s">
        <v>630</v>
      </c>
      <c r="AW90" s="137" t="s">
        <v>630</v>
      </c>
      <c r="AX90" s="95"/>
    </row>
    <row r="91" spans="1:50" s="147" customFormat="1" ht="176.45" customHeight="1" x14ac:dyDescent="0.25">
      <c r="A91" s="410">
        <v>29</v>
      </c>
      <c r="B91" s="374" t="s">
        <v>296</v>
      </c>
      <c r="C91" s="406" t="s">
        <v>295</v>
      </c>
      <c r="D91" s="406" t="s">
        <v>297</v>
      </c>
      <c r="E91" s="393" t="s">
        <v>118</v>
      </c>
      <c r="F91" s="393" t="s">
        <v>460</v>
      </c>
      <c r="G91" s="393" t="s">
        <v>461</v>
      </c>
      <c r="H91" s="395" t="s">
        <v>497</v>
      </c>
      <c r="I91" s="393" t="s">
        <v>328</v>
      </c>
      <c r="J91" s="391">
        <v>355</v>
      </c>
      <c r="K91" s="388" t="str">
        <f>IF(J91&lt;=0,"",IF(J91&lt;=2,"Muy Baja",IF(J91&lt;=24,"Baja",IF(J91&lt;=500,"Media",IF(J91&lt;=5000,"Alta","Muy Alta")))))</f>
        <v>Media</v>
      </c>
      <c r="L91" s="401">
        <f>IF(K91="","",IF(K91="Muy Baja",0.2,IF(K91="Baja",0.4,IF(K91="Media",0.6,IF(K91="Alta",0.8,IF(K91="Muy Alta",1,))))))</f>
        <v>0.6</v>
      </c>
      <c r="M91" s="404" t="s">
        <v>493</v>
      </c>
      <c r="N91" s="125" t="str">
        <f>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388" t="str">
        <f>IF(OR(N91='Tabla Impacto'!$C$11,N91='Tabla Impacto'!$D$11),"Leve",IF(OR(N91='Tabla Impacto'!$C$12,N91='Tabla Impacto'!$D$12),"Menor",IF(OR(N91='Tabla Impacto'!$C$13,N91='Tabla Impacto'!$D$13),"Moderado",IF(OR(N91='Tabla Impacto'!$C$14,N91='Tabla Impacto'!$D$14),"Mayor",IF(OR(N91='Tabla Impacto'!$C$15,N91='Tabla Impacto'!$D$15),"Catastrófico","")))))</f>
        <v>Mayor</v>
      </c>
      <c r="P91" s="401">
        <f>IF(O91="","",IF(O91="Leve",0.2,IF(O91="Menor",0.4,IF(O91="Moderado",0.6,IF(O91="Mayor",0.8,IF(O91="Catastrófico",1,))))))</f>
        <v>0.8</v>
      </c>
      <c r="Q91" s="398" t="str">
        <f>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26">
        <v>1</v>
      </c>
      <c r="S91" s="95" t="s">
        <v>462</v>
      </c>
      <c r="T91" s="127" t="str">
        <f t="shared" si="25"/>
        <v>Probabilidad</v>
      </c>
      <c r="U91" s="128" t="s">
        <v>14</v>
      </c>
      <c r="V91" s="128" t="s">
        <v>9</v>
      </c>
      <c r="W91" s="129" t="str">
        <f t="shared" si="26"/>
        <v>40%</v>
      </c>
      <c r="X91" s="128" t="s">
        <v>19</v>
      </c>
      <c r="Y91" s="128" t="s">
        <v>22</v>
      </c>
      <c r="Z91" s="128" t="s">
        <v>110</v>
      </c>
      <c r="AA91" s="144">
        <f t="shared" ref="AA91" si="131">IFERROR(IF(T91="Probabilidad",(L91-(+L91*W91)),IF(T91="Impacto",L91,"")),"")</f>
        <v>0.36</v>
      </c>
      <c r="AB91" s="131" t="str">
        <f t="shared" si="28"/>
        <v>Baja</v>
      </c>
      <c r="AC91" s="132">
        <f t="shared" si="29"/>
        <v>0.36</v>
      </c>
      <c r="AD91" s="131" t="str">
        <f t="shared" si="30"/>
        <v>Mayor</v>
      </c>
      <c r="AE91" s="132">
        <f t="shared" si="31"/>
        <v>0.8</v>
      </c>
      <c r="AF91" s="133" t="str">
        <f t="shared" si="32"/>
        <v>Alto</v>
      </c>
      <c r="AG91" s="134" t="s">
        <v>122</v>
      </c>
      <c r="AH91" s="95" t="s">
        <v>301</v>
      </c>
      <c r="AI91" s="117" t="s">
        <v>260</v>
      </c>
      <c r="AJ91" s="124" t="s">
        <v>199</v>
      </c>
      <c r="AK91" s="124" t="s">
        <v>199</v>
      </c>
      <c r="AL91" s="122" t="s">
        <v>400</v>
      </c>
      <c r="AM91" s="121" t="s">
        <v>680</v>
      </c>
      <c r="AN91" s="216" t="s">
        <v>681</v>
      </c>
      <c r="AO91" s="218">
        <v>1</v>
      </c>
      <c r="AP91" s="216" t="s">
        <v>829</v>
      </c>
      <c r="AQ91" s="216" t="s">
        <v>682</v>
      </c>
      <c r="AR91" s="218">
        <v>1</v>
      </c>
      <c r="AS91" s="95"/>
      <c r="AT91" s="232" t="s">
        <v>629</v>
      </c>
      <c r="AU91" s="137" t="s">
        <v>630</v>
      </c>
      <c r="AV91" s="137" t="s">
        <v>630</v>
      </c>
      <c r="AW91" s="137" t="s">
        <v>630</v>
      </c>
      <c r="AX91" s="95"/>
    </row>
    <row r="92" spans="1:50" s="147" customFormat="1" ht="151.5" customHeight="1" x14ac:dyDescent="0.25">
      <c r="A92" s="410"/>
      <c r="B92" s="375"/>
      <c r="C92" s="407"/>
      <c r="D92" s="407"/>
      <c r="E92" s="394"/>
      <c r="F92" s="394"/>
      <c r="G92" s="394"/>
      <c r="H92" s="396"/>
      <c r="I92" s="394"/>
      <c r="J92" s="392"/>
      <c r="K92" s="389"/>
      <c r="L92" s="402"/>
      <c r="M92" s="405"/>
      <c r="N92" s="136"/>
      <c r="O92" s="389"/>
      <c r="P92" s="402"/>
      <c r="Q92" s="399"/>
      <c r="R92" s="126">
        <v>2</v>
      </c>
      <c r="S92" s="95" t="s">
        <v>343</v>
      </c>
      <c r="T92" s="127" t="str">
        <f t="shared" ref="T92:T93" si="132">IF(OR(U92="Preventivo",U92="Detectivo"),"Probabilidad",IF(U92="Correctivo","Impacto",""))</f>
        <v/>
      </c>
      <c r="U92" s="128" t="s">
        <v>332</v>
      </c>
      <c r="V92" s="128" t="s">
        <v>9</v>
      </c>
      <c r="W92" s="129" t="str">
        <f t="shared" ref="W92" si="133">IF(AND(U92="Preventivo",V92="Automático"),"50%",IF(AND(U92="Preventivo",V92="Manual"),"40%",IF(AND(U92="Detectivo",V92="Automático"),"40%",IF(AND(U92="Detectivo",V92="Manual"),"30%",IF(AND(U92="Correctivo",V92="Automático"),"35%",IF(AND(U92="Correctivo",V92="Manual"),"25%",""))))))</f>
        <v/>
      </c>
      <c r="X92" s="128" t="s">
        <v>20</v>
      </c>
      <c r="Y92" s="128" t="s">
        <v>22</v>
      </c>
      <c r="Z92" s="128" t="s">
        <v>110</v>
      </c>
      <c r="AA92" s="145" t="str">
        <f>IFERROR(IF(T92="Probabilidad",(AA91-(+AA91*W92)),IF(T92="Impacto",L92,"")),"")</f>
        <v/>
      </c>
      <c r="AB92" s="131" t="str">
        <f t="shared" ref="AB92:AB93" si="134">IFERROR(IF(AA92="","",IF(AA92&lt;=0.2,"Muy Baja",IF(AA92&lt;=0.4,"Baja",IF(AA92&lt;=0.6,"Media",IF(AA92&lt;=0.8,"Alta","Muy Alta"))))),"")</f>
        <v/>
      </c>
      <c r="AC92" s="132" t="str">
        <f t="shared" ref="AC92:AC93" si="135">+AA92</f>
        <v/>
      </c>
      <c r="AD92" s="131" t="str">
        <f t="shared" ref="AD92:AD93" si="136">IFERROR(IF(AE92="","",IF(AE92&lt;=0.2,"Leve",IF(AE92&lt;=0.4,"Menor",IF(AE92&lt;=0.6,"Moderado",IF(AE92&lt;=0.8,"Mayor","Catastrófico"))))),"")</f>
        <v/>
      </c>
      <c r="AE92" s="132" t="str">
        <f t="shared" ref="AE92:AE93" si="137">IFERROR(IF(T92="Impacto",(P92-(+P92*W92)),IF(T92="Probabilidad",P92,"")),"")</f>
        <v/>
      </c>
      <c r="AF92" s="133" t="str">
        <f t="shared" ref="AF92:AF93" si="138">IFERROR(IF(OR(AND(AB92="Muy Baja",AD92="Leve"),AND(AB92="Muy Baja",AD92="Menor"),AND(AB92="Baja",AD92="Leve")),"Bajo",IF(OR(AND(AB92="Muy baja",AD92="Moderado"),AND(AB92="Baja",AD92="Menor"),AND(AB92="Baja",AD92="Moderado"),AND(AB92="Media",AD92="Leve"),AND(AB92="Media",AD92="Menor"),AND(AB92="Media",AD92="Moderado"),AND(AB92="Alta",AD92="Leve"),AND(AB92="Alta",AD92="Menor")),"Moderado",IF(OR(AND(AB92="Muy Baja",AD92="Mayor"),AND(AB92="Baja",AD92="Mayor"),AND(AB92="Media",AD92="Mayor"),AND(AB92="Alta",AD92="Moderado"),AND(AB92="Alta",AD92="Mayor"),AND(AB92="Muy Alta",AD92="Leve"),AND(AB92="Muy Alta",AD92="Menor"),AND(AB92="Muy Alta",AD92="Moderado"),AND(AB92="Muy Alta",AD92="Mayor")),"Alto",IF(OR(AND(AB92="Muy Baja",AD92="Catastrófico"),AND(AB92="Baja",AD92="Catastrófico"),AND(AB92="Media",AD92="Catastrófico"),AND(AB92="Alta",AD92="Catastrófico"),AND(AB92="Muy Alta",AD92="Catastrófico")),"Extremo","")))),"")</f>
        <v/>
      </c>
      <c r="AG92" s="134" t="s">
        <v>122</v>
      </c>
      <c r="AH92" s="95" t="s">
        <v>301</v>
      </c>
      <c r="AI92" s="117" t="s">
        <v>260</v>
      </c>
      <c r="AJ92" s="124" t="s">
        <v>199</v>
      </c>
      <c r="AK92" s="124" t="s">
        <v>199</v>
      </c>
      <c r="AL92" s="122" t="s">
        <v>400</v>
      </c>
      <c r="AM92" s="121" t="s">
        <v>680</v>
      </c>
      <c r="AN92" s="216" t="s">
        <v>681</v>
      </c>
      <c r="AO92" s="218">
        <v>1</v>
      </c>
      <c r="AP92" s="216" t="s">
        <v>683</v>
      </c>
      <c r="AQ92" s="216" t="s">
        <v>684</v>
      </c>
      <c r="AR92" s="218">
        <v>1</v>
      </c>
      <c r="AS92" s="95"/>
      <c r="AT92" s="232" t="s">
        <v>629</v>
      </c>
      <c r="AU92" s="137" t="s">
        <v>630</v>
      </c>
      <c r="AV92" s="137" t="s">
        <v>630</v>
      </c>
      <c r="AW92" s="137" t="s">
        <v>630</v>
      </c>
      <c r="AX92" s="95"/>
    </row>
    <row r="93" spans="1:50" s="147" customFormat="1" ht="151.5" hidden="1" customHeight="1" x14ac:dyDescent="0.25">
      <c r="A93" s="410"/>
      <c r="B93" s="376"/>
      <c r="C93" s="408"/>
      <c r="D93" s="407"/>
      <c r="E93" s="394"/>
      <c r="F93" s="394"/>
      <c r="G93" s="394"/>
      <c r="H93" s="396"/>
      <c r="I93" s="394"/>
      <c r="J93" s="392"/>
      <c r="K93" s="390"/>
      <c r="L93" s="403"/>
      <c r="M93" s="405"/>
      <c r="N93" s="136"/>
      <c r="O93" s="390"/>
      <c r="P93" s="403"/>
      <c r="Q93" s="400"/>
      <c r="R93" s="126">
        <v>3</v>
      </c>
      <c r="S93" s="95"/>
      <c r="T93" s="127" t="str">
        <f t="shared" si="132"/>
        <v/>
      </c>
      <c r="U93" s="128"/>
      <c r="V93" s="128"/>
      <c r="W93" s="129"/>
      <c r="X93" s="128"/>
      <c r="Y93" s="128"/>
      <c r="Z93" s="128"/>
      <c r="AA93" s="130" t="str">
        <f>IFERROR(IF(T93="Probabilidad",(AA92-(+AA92*W93)),IF(T93="Impacto",L93,"")),"")</f>
        <v/>
      </c>
      <c r="AB93" s="131" t="str">
        <f t="shared" si="134"/>
        <v/>
      </c>
      <c r="AC93" s="132" t="str">
        <f t="shared" si="135"/>
        <v/>
      </c>
      <c r="AD93" s="131" t="str">
        <f t="shared" si="136"/>
        <v/>
      </c>
      <c r="AE93" s="132" t="str">
        <f t="shared" si="137"/>
        <v/>
      </c>
      <c r="AF93" s="133" t="str">
        <f t="shared" si="138"/>
        <v/>
      </c>
      <c r="AG93" s="134"/>
      <c r="AH93" s="95"/>
      <c r="AI93" s="123"/>
      <c r="AJ93" s="135"/>
      <c r="AK93" s="135"/>
      <c r="AL93" s="95"/>
      <c r="AM93" s="95"/>
      <c r="AN93" s="95"/>
      <c r="AO93" s="218">
        <v>1</v>
      </c>
      <c r="AP93" s="95"/>
      <c r="AQ93" s="95"/>
      <c r="AR93" s="218">
        <v>1</v>
      </c>
      <c r="AS93" s="95"/>
      <c r="AT93" s="232" t="s">
        <v>629</v>
      </c>
      <c r="AU93" s="137" t="s">
        <v>630</v>
      </c>
      <c r="AV93" s="137" t="s">
        <v>630</v>
      </c>
      <c r="AW93" s="137" t="s">
        <v>630</v>
      </c>
      <c r="AX93" s="95"/>
    </row>
    <row r="94" spans="1:50" s="147" customFormat="1" ht="151.5" customHeight="1" x14ac:dyDescent="0.25">
      <c r="A94" s="410">
        <v>30</v>
      </c>
      <c r="B94" s="374" t="s">
        <v>302</v>
      </c>
      <c r="C94" s="406" t="s">
        <v>358</v>
      </c>
      <c r="D94" s="406" t="s">
        <v>401</v>
      </c>
      <c r="E94" s="393" t="s">
        <v>120</v>
      </c>
      <c r="F94" s="397" t="s">
        <v>464</v>
      </c>
      <c r="G94" s="397" t="s">
        <v>463</v>
      </c>
      <c r="H94" s="395" t="s">
        <v>303</v>
      </c>
      <c r="I94" s="393" t="s">
        <v>328</v>
      </c>
      <c r="J94" s="391">
        <v>850</v>
      </c>
      <c r="K94" s="388" t="str">
        <f>IF(J94&lt;=0,"",IF(J94&lt;=2,"Muy Baja",IF(J94&lt;=24,"Baja",IF(J94&lt;=500,"Media",IF(J94&lt;=5000,"Alta","Muy Alta")))))</f>
        <v>Alta</v>
      </c>
      <c r="L94" s="401">
        <f>IF(K94="","",IF(K94="Muy Baja",0.2,IF(K94="Baja",0.4,IF(K94="Media",0.6,IF(K94="Alta",0.8,IF(K94="Muy Alta",1,))))))</f>
        <v>0.8</v>
      </c>
      <c r="M94" s="404" t="s">
        <v>493</v>
      </c>
      <c r="N94" s="125" t="str">
        <f>IF(NOT(ISERROR(MATCH(M94,'Tabla Impacto'!$B$221:$B$223,0))),'Tabla Impacto'!$F$223&amp;"Por favor no seleccionar los criterios de impacto(Afectación Económica o presupuestal y Pérdida Reputacional)",M94)</f>
        <v xml:space="preserve"> El riesgo afecta la imagen de la entidad con efecto publicitario sostenido a nivel de sector administrativo, nivel departamental o municipal</v>
      </c>
      <c r="O94" s="388" t="str">
        <f>IF(OR(N94='Tabla Impacto'!$C$11,N94='Tabla Impacto'!$D$11),"Leve",IF(OR(N94='Tabla Impacto'!$C$12,N94='Tabla Impacto'!$D$12),"Menor",IF(OR(N94='Tabla Impacto'!$C$13,N94='Tabla Impacto'!$D$13),"Moderado",IF(OR(N94='Tabla Impacto'!$C$14,N94='Tabla Impacto'!$D$14),"Mayor",IF(OR(N94='Tabla Impacto'!$C$15,N94='Tabla Impacto'!$D$15),"Catastrófico","")))))</f>
        <v>Mayor</v>
      </c>
      <c r="P94" s="401">
        <f>IF(O94="","",IF(O94="Leve",0.2,IF(O94="Menor",0.4,IF(O94="Moderado",0.6,IF(O94="Mayor",0.8,IF(O94="Catastrófico",1,))))))</f>
        <v>0.8</v>
      </c>
      <c r="Q94" s="398" t="str">
        <f>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Alto</v>
      </c>
      <c r="R94" s="126">
        <v>1</v>
      </c>
      <c r="S94" s="95" t="s">
        <v>304</v>
      </c>
      <c r="T94" s="127" t="str">
        <f t="shared" ref="T94:T96" si="139">IF(OR(U94="Preventivo",U94="Detectivo"),"Probabilidad",IF(U94="Correctivo","Impacto",""))</f>
        <v>Probabilidad</v>
      </c>
      <c r="U94" s="128" t="s">
        <v>14</v>
      </c>
      <c r="V94" s="128" t="s">
        <v>9</v>
      </c>
      <c r="W94" s="129" t="str">
        <f t="shared" ref="W94:W95" si="140">IF(AND(U94="Preventivo",V94="Automático"),"50%",IF(AND(U94="Preventivo",V94="Manual"),"40%",IF(AND(U94="Detectivo",V94="Automático"),"40%",IF(AND(U94="Detectivo",V94="Manual"),"30%",IF(AND(U94="Correctivo",V94="Automático"),"35%",IF(AND(U94="Correctivo",V94="Manual"),"25%",""))))))</f>
        <v>40%</v>
      </c>
      <c r="X94" s="128" t="s">
        <v>20</v>
      </c>
      <c r="Y94" s="128" t="s">
        <v>22</v>
      </c>
      <c r="Z94" s="128" t="s">
        <v>110</v>
      </c>
      <c r="AA94" s="130">
        <f t="shared" ref="AA94" si="141">IFERROR(IF(T94="Probabilidad",(L94-(+L94*W94)),IF(T94="Impacto",L94,"")),"")</f>
        <v>0.48</v>
      </c>
      <c r="AB94" s="131" t="str">
        <f t="shared" ref="AB94:AB96" si="142">IFERROR(IF(AA94="","",IF(AA94&lt;=0.2,"Muy Baja",IF(AA94&lt;=0.4,"Baja",IF(AA94&lt;=0.6,"Media",IF(AA94&lt;=0.8,"Alta","Muy Alta"))))),"")</f>
        <v>Media</v>
      </c>
      <c r="AC94" s="132">
        <f t="shared" ref="AC94:AC96" si="143">+AA94</f>
        <v>0.48</v>
      </c>
      <c r="AD94" s="131" t="str">
        <f t="shared" ref="AD94:AD96" si="144">IFERROR(IF(AE94="","",IF(AE94&lt;=0.2,"Leve",IF(AE94&lt;=0.4,"Menor",IF(AE94&lt;=0.6,"Moderado",IF(AE94&lt;=0.8,"Mayor","Catastrófico"))))),"")</f>
        <v>Mayor</v>
      </c>
      <c r="AE94" s="132">
        <f t="shared" ref="AE94:AE96" si="145">IFERROR(IF(T94="Impacto",(P94-(+P94*W94)),IF(T94="Probabilidad",P94,"")),"")</f>
        <v>0.8</v>
      </c>
      <c r="AF94" s="133" t="str">
        <f t="shared" ref="AF94:AF96" si="146">IFERROR(IF(OR(AND(AB94="Muy Baja",AD94="Leve"),AND(AB94="Muy Baja",AD94="Menor"),AND(AB94="Baja",AD94="Leve")),"Bajo",IF(OR(AND(AB94="Muy baja",AD94="Moderado"),AND(AB94="Baja",AD94="Menor"),AND(AB94="Baja",AD94="Moderado"),AND(AB94="Media",AD94="Leve"),AND(AB94="Media",AD94="Menor"),AND(AB94="Media",AD94="Moderado"),AND(AB94="Alta",AD94="Leve"),AND(AB94="Alta",AD94="Menor")),"Moderado",IF(OR(AND(AB94="Muy Baja",AD94="Mayor"),AND(AB94="Baja",AD94="Mayor"),AND(AB94="Media",AD94="Mayor"),AND(AB94="Alta",AD94="Moderado"),AND(AB94="Alta",AD94="Mayor"),AND(AB94="Muy Alta",AD94="Leve"),AND(AB94="Muy Alta",AD94="Menor"),AND(AB94="Muy Alta",AD94="Moderado"),AND(AB94="Muy Alta",AD94="Mayor")),"Alto",IF(OR(AND(AB94="Muy Baja",AD94="Catastrófico"),AND(AB94="Baja",AD94="Catastrófico"),AND(AB94="Media",AD94="Catastrófico"),AND(AB94="Alta",AD94="Catastrófico"),AND(AB94="Muy Alta",AD94="Catastrófico")),"Extremo","")))),"")</f>
        <v>Alto</v>
      </c>
      <c r="AG94" s="134" t="s">
        <v>122</v>
      </c>
      <c r="AH94" s="146" t="s">
        <v>306</v>
      </c>
      <c r="AI94" s="123" t="s">
        <v>198</v>
      </c>
      <c r="AJ94" s="124">
        <v>44562</v>
      </c>
      <c r="AK94" s="124" t="s">
        <v>373</v>
      </c>
      <c r="AL94" s="95" t="s">
        <v>307</v>
      </c>
      <c r="AM94" s="216" t="s">
        <v>711</v>
      </c>
      <c r="AN94" s="216" t="s">
        <v>712</v>
      </c>
      <c r="AO94" s="218">
        <v>1</v>
      </c>
      <c r="AP94" s="216" t="s">
        <v>830</v>
      </c>
      <c r="AQ94" s="216" t="s">
        <v>713</v>
      </c>
      <c r="AR94" s="218">
        <v>1</v>
      </c>
      <c r="AS94" s="95"/>
      <c r="AT94" s="232" t="s">
        <v>629</v>
      </c>
      <c r="AU94" s="137" t="s">
        <v>630</v>
      </c>
      <c r="AV94" s="137" t="s">
        <v>630</v>
      </c>
      <c r="AW94" s="137" t="s">
        <v>630</v>
      </c>
      <c r="AX94" s="95"/>
    </row>
    <row r="95" spans="1:50" s="147" customFormat="1" ht="151.5" customHeight="1" x14ac:dyDescent="0.25">
      <c r="A95" s="410"/>
      <c r="B95" s="375"/>
      <c r="C95" s="407"/>
      <c r="D95" s="407"/>
      <c r="E95" s="394"/>
      <c r="F95" s="394"/>
      <c r="G95" s="394"/>
      <c r="H95" s="396"/>
      <c r="I95" s="394"/>
      <c r="J95" s="392"/>
      <c r="K95" s="389"/>
      <c r="L95" s="402"/>
      <c r="M95" s="405"/>
      <c r="N95" s="136"/>
      <c r="O95" s="389"/>
      <c r="P95" s="402"/>
      <c r="Q95" s="399"/>
      <c r="R95" s="126">
        <v>2</v>
      </c>
      <c r="S95" s="95" t="s">
        <v>305</v>
      </c>
      <c r="T95" s="127" t="str">
        <f t="shared" si="139"/>
        <v>Probabilidad</v>
      </c>
      <c r="U95" s="128" t="s">
        <v>14</v>
      </c>
      <c r="V95" s="128" t="s">
        <v>9</v>
      </c>
      <c r="W95" s="129" t="str">
        <f t="shared" si="140"/>
        <v>40%</v>
      </c>
      <c r="X95" s="128" t="s">
        <v>20</v>
      </c>
      <c r="Y95" s="128" t="s">
        <v>22</v>
      </c>
      <c r="Z95" s="128" t="s">
        <v>110</v>
      </c>
      <c r="AA95" s="130">
        <f>IFERROR(IF(T95="Probabilidad",(AA94-(+AA94*W95)),IF(T95="Impacto",L95,"")),"")</f>
        <v>0.28799999999999998</v>
      </c>
      <c r="AB95" s="131" t="str">
        <f t="shared" si="142"/>
        <v>Baja</v>
      </c>
      <c r="AC95" s="132">
        <f t="shared" si="143"/>
        <v>0.28799999999999998</v>
      </c>
      <c r="AD95" s="131" t="str">
        <f t="shared" si="144"/>
        <v>Mayor</v>
      </c>
      <c r="AE95" s="132">
        <v>0.8</v>
      </c>
      <c r="AF95" s="133" t="str">
        <f t="shared" si="146"/>
        <v>Alto</v>
      </c>
      <c r="AG95" s="134" t="s">
        <v>122</v>
      </c>
      <c r="AH95" s="122" t="s">
        <v>308</v>
      </c>
      <c r="AI95" s="117" t="s">
        <v>198</v>
      </c>
      <c r="AJ95" s="124">
        <v>44562</v>
      </c>
      <c r="AK95" s="124" t="s">
        <v>373</v>
      </c>
      <c r="AL95" s="122" t="s">
        <v>307</v>
      </c>
      <c r="AM95" s="221" t="s">
        <v>831</v>
      </c>
      <c r="AN95" s="221" t="s">
        <v>832</v>
      </c>
      <c r="AO95" s="218">
        <v>1</v>
      </c>
      <c r="AP95" s="221" t="s">
        <v>833</v>
      </c>
      <c r="AQ95" s="95" t="s">
        <v>834</v>
      </c>
      <c r="AR95" s="215">
        <v>1</v>
      </c>
      <c r="AS95" s="95"/>
      <c r="AT95" s="232" t="s">
        <v>629</v>
      </c>
      <c r="AU95" s="137" t="s">
        <v>630</v>
      </c>
      <c r="AV95" s="137" t="s">
        <v>630</v>
      </c>
      <c r="AW95" s="137" t="s">
        <v>630</v>
      </c>
      <c r="AX95" s="95"/>
    </row>
    <row r="96" spans="1:50" s="147" customFormat="1" ht="151.5" hidden="1" customHeight="1" x14ac:dyDescent="0.25">
      <c r="A96" s="412"/>
      <c r="B96" s="376"/>
      <c r="C96" s="407"/>
      <c r="D96" s="407"/>
      <c r="E96" s="394"/>
      <c r="F96" s="394"/>
      <c r="G96" s="394"/>
      <c r="H96" s="396"/>
      <c r="I96" s="394"/>
      <c r="J96" s="392"/>
      <c r="K96" s="390"/>
      <c r="L96" s="403"/>
      <c r="M96" s="405"/>
      <c r="N96" s="136"/>
      <c r="O96" s="390"/>
      <c r="P96" s="403"/>
      <c r="Q96" s="400"/>
      <c r="R96" s="126">
        <v>3</v>
      </c>
      <c r="S96" s="95"/>
      <c r="T96" s="127" t="str">
        <f t="shared" si="139"/>
        <v/>
      </c>
      <c r="U96" s="128"/>
      <c r="V96" s="128"/>
      <c r="W96" s="129"/>
      <c r="X96" s="128"/>
      <c r="Y96" s="128"/>
      <c r="Z96" s="128"/>
      <c r="AA96" s="130" t="str">
        <f>IFERROR(IF(T96="Probabilidad",(AA95-(+AA95*W96)),IF(T96="Impacto",L96,"")),"")</f>
        <v/>
      </c>
      <c r="AB96" s="131" t="str">
        <f t="shared" si="142"/>
        <v/>
      </c>
      <c r="AC96" s="132" t="str">
        <f t="shared" si="143"/>
        <v/>
      </c>
      <c r="AD96" s="131" t="str">
        <f t="shared" si="144"/>
        <v/>
      </c>
      <c r="AE96" s="132" t="str">
        <f t="shared" si="145"/>
        <v/>
      </c>
      <c r="AF96" s="133" t="str">
        <f t="shared" si="146"/>
        <v/>
      </c>
      <c r="AG96" s="134"/>
      <c r="AH96" s="95"/>
      <c r="AI96" s="123"/>
      <c r="AJ96" s="135"/>
      <c r="AK96" s="135"/>
      <c r="AL96" s="95"/>
      <c r="AM96" s="95"/>
      <c r="AN96" s="95"/>
      <c r="AO96" s="218">
        <v>1</v>
      </c>
      <c r="AP96" s="95"/>
      <c r="AQ96" s="95"/>
      <c r="AR96" s="137"/>
      <c r="AS96" s="95"/>
      <c r="AT96" s="232" t="s">
        <v>629</v>
      </c>
      <c r="AU96" s="137" t="s">
        <v>630</v>
      </c>
      <c r="AV96" s="137" t="s">
        <v>630</v>
      </c>
      <c r="AW96" s="137" t="s">
        <v>630</v>
      </c>
      <c r="AX96" s="95"/>
    </row>
    <row r="97" spans="1:50" s="147" customFormat="1" ht="223.5" customHeight="1" x14ac:dyDescent="0.25">
      <c r="A97" s="373">
        <v>31</v>
      </c>
      <c r="B97" s="338" t="s">
        <v>309</v>
      </c>
      <c r="C97" s="360" t="s">
        <v>359</v>
      </c>
      <c r="D97" s="360" t="s">
        <v>402</v>
      </c>
      <c r="E97" s="354" t="s">
        <v>118</v>
      </c>
      <c r="F97" s="377" t="s">
        <v>595</v>
      </c>
      <c r="G97" s="377" t="s">
        <v>472</v>
      </c>
      <c r="H97" s="357" t="s">
        <v>596</v>
      </c>
      <c r="I97" s="354" t="s">
        <v>328</v>
      </c>
      <c r="J97" s="351">
        <v>12</v>
      </c>
      <c r="K97" s="342" t="str">
        <f>IF(J97&lt;=0,"",IF(J97&lt;=2,"Muy Baja",IF(J97&lt;=24,"Baja",IF(J97&lt;=500,"Media",IF(J97&lt;=5000,"Alta","Muy Alta")))))</f>
        <v>Baja</v>
      </c>
      <c r="L97" s="345">
        <f>IF(K97="","",IF(K97="Muy Baja",0.2,IF(K97="Baja",0.4,IF(K97="Media",0.6,IF(K97="Alta",0.8,IF(K97="Muy Alta",1,))))))</f>
        <v>0.4</v>
      </c>
      <c r="M97" s="369" t="s">
        <v>486</v>
      </c>
      <c r="N97" s="161" t="str">
        <f>IF(NOT(ISERROR(MATCH(M97,'Tabla Impacto'!$B$221:$B$223,0))),'Tabla Impacto'!$F$223&amp;"Por favor no seleccionar los criterios de impacto(Afectación Económica o presupuestal y Pérdida Reputacional)",M97)</f>
        <v xml:space="preserve"> El riesgo afecta la imagen de la entidad con algunos usuarios de relevancia frente al logro de los objetivos</v>
      </c>
      <c r="O97" s="342" t="str">
        <f>IF(OR(N97='Tabla Impacto'!$C$11,N97='Tabla Impacto'!$D$11),"Leve",IF(OR(N97='Tabla Impacto'!$C$12,N97='Tabla Impacto'!$D$12),"Menor",IF(OR(N97='Tabla Impacto'!$C$13,N97='Tabla Impacto'!$D$13),"Moderado",IF(OR(N97='Tabla Impacto'!$C$14,N97='Tabla Impacto'!$D$14),"Mayor",IF(OR(N97='Tabla Impacto'!$C$15,N97='Tabla Impacto'!$D$15),"Catastrófico","")))))</f>
        <v>Moderado</v>
      </c>
      <c r="P97" s="345">
        <f>IF(O97="","",IF(O97="Leve",0.2,IF(O97="Menor",0.4,IF(O97="Moderado",0.6,IF(O97="Mayor",0.8,IF(O97="Catastrófico",1,))))))</f>
        <v>0.6</v>
      </c>
      <c r="Q97" s="348" t="str">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Moderado</v>
      </c>
      <c r="R97" s="157">
        <v>1</v>
      </c>
      <c r="S97" s="158" t="s">
        <v>588</v>
      </c>
      <c r="T97" s="159" t="str">
        <f t="shared" si="25"/>
        <v>Probabilidad</v>
      </c>
      <c r="U97" s="162" t="s">
        <v>14</v>
      </c>
      <c r="V97" s="162" t="s">
        <v>9</v>
      </c>
      <c r="W97" s="163" t="str">
        <f t="shared" si="26"/>
        <v>40%</v>
      </c>
      <c r="X97" s="162" t="s">
        <v>19</v>
      </c>
      <c r="Y97" s="162" t="s">
        <v>22</v>
      </c>
      <c r="Z97" s="162" t="s">
        <v>110</v>
      </c>
      <c r="AA97" s="142">
        <f t="shared" si="27"/>
        <v>0.24</v>
      </c>
      <c r="AB97" s="152" t="str">
        <f t="shared" si="28"/>
        <v>Baja</v>
      </c>
      <c r="AC97" s="153">
        <f t="shared" si="29"/>
        <v>0.24</v>
      </c>
      <c r="AD97" s="152" t="str">
        <f t="shared" si="30"/>
        <v>Moderado</v>
      </c>
      <c r="AE97" s="153">
        <f t="shared" si="31"/>
        <v>0.6</v>
      </c>
      <c r="AF97" s="154" t="str">
        <f t="shared" si="32"/>
        <v>Moderado</v>
      </c>
      <c r="AG97" s="155" t="s">
        <v>122</v>
      </c>
      <c r="AH97" s="174" t="s">
        <v>590</v>
      </c>
      <c r="AI97" s="148" t="s">
        <v>589</v>
      </c>
      <c r="AJ97" s="149" t="s">
        <v>286</v>
      </c>
      <c r="AK97" s="149" t="s">
        <v>287</v>
      </c>
      <c r="AL97" s="158" t="s">
        <v>597</v>
      </c>
      <c r="AM97" s="95" t="s">
        <v>643</v>
      </c>
      <c r="AN97" s="223" t="s">
        <v>644</v>
      </c>
      <c r="AO97" s="218">
        <v>1</v>
      </c>
      <c r="AP97" s="95" t="s">
        <v>645</v>
      </c>
      <c r="AQ97" s="223" t="s">
        <v>644</v>
      </c>
      <c r="AR97" s="218">
        <v>1</v>
      </c>
      <c r="AS97" s="95"/>
      <c r="AT97" s="232" t="s">
        <v>629</v>
      </c>
      <c r="AU97" s="137" t="s">
        <v>630</v>
      </c>
      <c r="AV97" s="137" t="s">
        <v>630</v>
      </c>
      <c r="AW97" s="137" t="s">
        <v>630</v>
      </c>
      <c r="AX97" s="95"/>
    </row>
    <row r="98" spans="1:50" s="147" customFormat="1" ht="151.5" hidden="1" customHeight="1" x14ac:dyDescent="0.25">
      <c r="A98" s="341"/>
      <c r="B98" s="339"/>
      <c r="C98" s="361"/>
      <c r="D98" s="361"/>
      <c r="E98" s="355"/>
      <c r="F98" s="381"/>
      <c r="G98" s="381"/>
      <c r="H98" s="358"/>
      <c r="I98" s="355"/>
      <c r="J98" s="352"/>
      <c r="K98" s="343"/>
      <c r="L98" s="346"/>
      <c r="M98" s="370"/>
      <c r="N98" s="167"/>
      <c r="O98" s="343"/>
      <c r="P98" s="346"/>
      <c r="Q98" s="349"/>
      <c r="R98" s="157">
        <v>2</v>
      </c>
      <c r="S98" s="158"/>
      <c r="T98" s="159"/>
      <c r="U98" s="162"/>
      <c r="V98" s="162"/>
      <c r="W98" s="163"/>
      <c r="X98" s="162"/>
      <c r="Y98" s="162"/>
      <c r="Z98" s="162"/>
      <c r="AA98" s="142"/>
      <c r="AB98" s="152"/>
      <c r="AC98" s="153"/>
      <c r="AD98" s="152"/>
      <c r="AE98" s="153"/>
      <c r="AF98" s="154"/>
      <c r="AG98" s="155"/>
      <c r="AH98" s="174"/>
      <c r="AI98" s="175"/>
      <c r="AJ98" s="149"/>
      <c r="AK98" s="149"/>
      <c r="AL98" s="158"/>
      <c r="AM98" s="95"/>
      <c r="AN98" s="95"/>
      <c r="AO98" s="218">
        <v>1</v>
      </c>
      <c r="AP98" s="95"/>
      <c r="AQ98" s="95"/>
      <c r="AR98" s="137"/>
      <c r="AS98" s="95"/>
      <c r="AT98" s="232" t="s">
        <v>629</v>
      </c>
      <c r="AU98" s="137" t="s">
        <v>630</v>
      </c>
      <c r="AV98" s="137" t="s">
        <v>630</v>
      </c>
      <c r="AW98" s="137" t="s">
        <v>630</v>
      </c>
      <c r="AX98" s="95"/>
    </row>
    <row r="99" spans="1:50" s="147" customFormat="1" ht="151.5" hidden="1" customHeight="1" x14ac:dyDescent="0.25">
      <c r="A99" s="341"/>
      <c r="B99" s="339"/>
      <c r="C99" s="379"/>
      <c r="D99" s="379"/>
      <c r="E99" s="355"/>
      <c r="F99" s="355"/>
      <c r="G99" s="355"/>
      <c r="H99" s="358"/>
      <c r="I99" s="355"/>
      <c r="J99" s="352"/>
      <c r="K99" s="343"/>
      <c r="L99" s="346"/>
      <c r="M99" s="370"/>
      <c r="N99" s="167"/>
      <c r="O99" s="343"/>
      <c r="P99" s="346"/>
      <c r="Q99" s="349"/>
      <c r="R99" s="211">
        <v>3</v>
      </c>
      <c r="S99" s="158"/>
      <c r="T99" s="159"/>
      <c r="U99" s="162"/>
      <c r="V99" s="162"/>
      <c r="W99" s="163"/>
      <c r="X99" s="162"/>
      <c r="Y99" s="162"/>
      <c r="Z99" s="162"/>
      <c r="AA99" s="142"/>
      <c r="AB99" s="152"/>
      <c r="AC99" s="153"/>
      <c r="AD99" s="152"/>
      <c r="AE99" s="153"/>
      <c r="AF99" s="154"/>
      <c r="AG99" s="155"/>
      <c r="AH99" s="174"/>
      <c r="AI99" s="148"/>
      <c r="AJ99" s="149"/>
      <c r="AK99" s="149"/>
      <c r="AL99" s="158"/>
      <c r="AM99" s="95"/>
      <c r="AN99" s="95"/>
      <c r="AO99" s="218">
        <v>1</v>
      </c>
      <c r="AP99" s="95"/>
      <c r="AQ99" s="95"/>
      <c r="AR99" s="137"/>
      <c r="AS99" s="95"/>
      <c r="AT99" s="232" t="s">
        <v>629</v>
      </c>
      <c r="AU99" s="137" t="s">
        <v>630</v>
      </c>
      <c r="AV99" s="137" t="s">
        <v>630</v>
      </c>
      <c r="AW99" s="137" t="s">
        <v>630</v>
      </c>
      <c r="AX99" s="95"/>
    </row>
    <row r="100" spans="1:50" s="147" customFormat="1" ht="151.5" customHeight="1" x14ac:dyDescent="0.25">
      <c r="A100" s="341">
        <v>32</v>
      </c>
      <c r="B100" s="338" t="s">
        <v>309</v>
      </c>
      <c r="C100" s="338" t="s">
        <v>353</v>
      </c>
      <c r="D100" s="338" t="s">
        <v>402</v>
      </c>
      <c r="E100" s="354" t="s">
        <v>118</v>
      </c>
      <c r="F100" s="354" t="s">
        <v>522</v>
      </c>
      <c r="G100" s="354" t="s">
        <v>523</v>
      </c>
      <c r="H100" s="357" t="s">
        <v>524</v>
      </c>
      <c r="I100" s="357" t="s">
        <v>328</v>
      </c>
      <c r="J100" s="385">
        <v>1096</v>
      </c>
      <c r="K100" s="342" t="str">
        <f>IF(J100&lt;=0,"",IF(J100&lt;=2,"Muy Baja",IF(J100&lt;=24,"Baja",IF(J100&lt;=500,"Media",IF(J100&lt;=5000,"Alta","Muy Alta")))))</f>
        <v>Alta</v>
      </c>
      <c r="L100" s="345">
        <f>IF(K100="","",IF(K100="Muy Baja",0.2,IF(K100="Baja",0.4,IF(K100="Media",0.6,IF(K100="Alta",0.8,IF(K100="Muy Alta",1,))))))</f>
        <v>0.8</v>
      </c>
      <c r="M100" s="382" t="s">
        <v>486</v>
      </c>
      <c r="N100" s="345" t="str">
        <f>IF(NOT(ISERROR(MATCH(M100,'[1]Tabla Impacto'!$B$221:$B$223,0))),'[1]Tabla Impacto'!$F$223&amp;"Por favor no seleccionar los criterios de impacto(Afectación Económica o presupuestal y Pérdida Reputacional)",M100)</f>
        <v xml:space="preserve"> El riesgo afecta la imagen de la entidad con algunos usuarios de relevancia frente al logro de los objetivos</v>
      </c>
      <c r="O100" s="342" t="str">
        <f>IF(OR(N100='[1]Tabla Impacto'!$C$11,N100='[1]Tabla Impacto'!$D$11),"Leve",IF(OR(N100='[1]Tabla Impacto'!$C$12,N100='[1]Tabla Impacto'!$D$12),"Menor",IF(OR(N100='[1]Tabla Impacto'!$C$13,N100='[1]Tabla Impacto'!$D$13),"Moderado",IF(OR(N100='[1]Tabla Impacto'!$C$14,N100='[1]Tabla Impacto'!$D$14),"Mayor",IF(OR(N100='[1]Tabla Impacto'!$C$15,N100='[1]Tabla Impacto'!$D$15),"Catastrófico","")))))</f>
        <v>Moderado</v>
      </c>
      <c r="P100" s="345">
        <f>IF(O100="","",IF(O100="Leve",0.2,IF(O100="Menor",0.4,IF(O100="Moderado",0.6,IF(O100="Mayor",0.8,IF(O100="Catastrófico",1,))))))</f>
        <v>0.6</v>
      </c>
      <c r="Q100" s="348" t="str">
        <f>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Alto</v>
      </c>
      <c r="R100" s="157">
        <v>1</v>
      </c>
      <c r="S100" s="158" t="s">
        <v>591</v>
      </c>
      <c r="T100" s="201" t="str">
        <f t="shared" ref="T100" si="147">IF(OR(U100="Preventivo",U100="Detectivo"),"Probabilidad",IF(U100="Correctivo","Impacto",""))</f>
        <v>Probabilidad</v>
      </c>
      <c r="U100" s="202" t="s">
        <v>14</v>
      </c>
      <c r="V100" s="202" t="s">
        <v>9</v>
      </c>
      <c r="W100" s="203" t="str">
        <f t="shared" ref="W100" si="148">IF(AND(U100="Preventivo",V100="Automático"),"50%",IF(AND(U100="Preventivo",V100="Manual"),"40%",IF(AND(U100="Detectivo",V100="Automático"),"40%",IF(AND(U100="Detectivo",V100="Manual"),"30%",IF(AND(U100="Correctivo",V100="Automático"),"35%",IF(AND(U100="Correctivo",V100="Manual"),"25%",""))))))</f>
        <v>40%</v>
      </c>
      <c r="X100" s="202" t="s">
        <v>20</v>
      </c>
      <c r="Y100" s="202" t="s">
        <v>22</v>
      </c>
      <c r="Z100" s="202" t="s">
        <v>110</v>
      </c>
      <c r="AA100" s="204">
        <f t="shared" ref="AA100" si="149">IFERROR(IF(T100="Probabilidad",(L100-(+L100*W100)),IF(T100="Impacto",L100,"")),"")</f>
        <v>0.48</v>
      </c>
      <c r="AB100" s="205" t="str">
        <f t="shared" ref="AB100" si="150">IFERROR(IF(AA100="","",IF(AA100&lt;=0.2,"Muy Baja",IF(AA100&lt;=0.4,"Baja",IF(AA100&lt;=0.6,"Media",IF(AA100&lt;=0.8,"Alta","Muy Alta"))))),"")</f>
        <v>Media</v>
      </c>
      <c r="AC100" s="206">
        <f t="shared" ref="AC100" si="151">+AA100</f>
        <v>0.48</v>
      </c>
      <c r="AD100" s="205" t="str">
        <f t="shared" ref="AD100" si="152">IFERROR(IF(AE100="","",IF(AE100&lt;=0.2,"Leve",IF(AE100&lt;=0.4,"Menor",IF(AE100&lt;=0.6,"Moderado",IF(AE100&lt;=0.8,"Mayor","Catastrófico"))))),"")</f>
        <v>Moderado</v>
      </c>
      <c r="AE100" s="206">
        <f t="shared" ref="AE100" si="153">IFERROR(IF(T100="Impacto",(P100-(+P100*W100)),IF(T100="Probabilidad",P100,"")),"")</f>
        <v>0.6</v>
      </c>
      <c r="AF100" s="207" t="str">
        <f t="shared" ref="AF100" si="154">IFERROR(IF(OR(AND(AB100="Muy Baja",AD100="Leve"),AND(AB100="Muy Baja",AD100="Menor"),AND(AB100="Baja",AD100="Leve")),"Bajo",IF(OR(AND(AB100="Muy baja",AD100="Moderado"),AND(AB100="Baja",AD100="Menor"),AND(AB100="Baja",AD100="Moderado"),AND(AB100="Media",AD100="Leve"),AND(AB100="Media",AD100="Menor"),AND(AB100="Media",AD100="Moderado"),AND(AB100="Alta",AD100="Leve"),AND(AB100="Alta",AD100="Menor")),"Moderado",IF(OR(AND(AB100="Muy Baja",AD100="Mayor"),AND(AB100="Baja",AD100="Mayor"),AND(AB100="Media",AD100="Mayor"),AND(AB100="Alta",AD100="Moderado"),AND(AB100="Alta",AD100="Mayor"),AND(AB100="Muy Alta",AD100="Leve"),AND(AB100="Muy Alta",AD100="Menor"),AND(AB100="Muy Alta",AD100="Moderado"),AND(AB100="Muy Alta",AD100="Mayor")),"Alto",IF(OR(AND(AB100="Muy Baja",AD100="Catastrófico"),AND(AB100="Baja",AD100="Catastrófico"),AND(AB100="Media",AD100="Catastrófico"),AND(AB100="Alta",AD100="Catastrófico"),AND(AB100="Muy Alta",AD100="Catastrófico")),"Extremo","")))),"")</f>
        <v>Moderado</v>
      </c>
      <c r="AG100" s="208" t="s">
        <v>122</v>
      </c>
      <c r="AH100" s="156" t="s">
        <v>592</v>
      </c>
      <c r="AI100" s="148" t="s">
        <v>589</v>
      </c>
      <c r="AJ100" s="149" t="s">
        <v>286</v>
      </c>
      <c r="AK100" s="149" t="s">
        <v>287</v>
      </c>
      <c r="AL100" s="150" t="s">
        <v>473</v>
      </c>
      <c r="AM100" s="95" t="s">
        <v>835</v>
      </c>
      <c r="AN100" s="223" t="s">
        <v>646</v>
      </c>
      <c r="AO100" s="218">
        <v>1</v>
      </c>
      <c r="AP100" s="95" t="s">
        <v>836</v>
      </c>
      <c r="AQ100" s="223" t="s">
        <v>647</v>
      </c>
      <c r="AR100" s="218">
        <v>1</v>
      </c>
      <c r="AS100" s="95"/>
      <c r="AT100" s="232" t="s">
        <v>629</v>
      </c>
      <c r="AU100" s="137" t="s">
        <v>630</v>
      </c>
      <c r="AV100" s="137" t="s">
        <v>630</v>
      </c>
      <c r="AW100" s="137" t="s">
        <v>630</v>
      </c>
      <c r="AX100" s="95"/>
    </row>
    <row r="101" spans="1:50" s="147" customFormat="1" ht="151.5" hidden="1" customHeight="1" x14ac:dyDescent="0.25">
      <c r="A101" s="341"/>
      <c r="B101" s="339"/>
      <c r="C101" s="339"/>
      <c r="D101" s="339"/>
      <c r="E101" s="355"/>
      <c r="F101" s="355"/>
      <c r="G101" s="355"/>
      <c r="H101" s="358"/>
      <c r="I101" s="358"/>
      <c r="J101" s="386"/>
      <c r="K101" s="343"/>
      <c r="L101" s="346"/>
      <c r="M101" s="383"/>
      <c r="N101" s="346"/>
      <c r="O101" s="343"/>
      <c r="P101" s="346"/>
      <c r="Q101" s="349"/>
      <c r="R101" s="157">
        <v>2</v>
      </c>
      <c r="S101" s="158"/>
      <c r="T101" s="159"/>
      <c r="U101" s="151"/>
      <c r="V101" s="151"/>
      <c r="W101" s="160"/>
      <c r="X101" s="151"/>
      <c r="Y101" s="151"/>
      <c r="Z101" s="151"/>
      <c r="AA101" s="142"/>
      <c r="AB101" s="152"/>
      <c r="AC101" s="153"/>
      <c r="AD101" s="152"/>
      <c r="AE101" s="153"/>
      <c r="AF101" s="154"/>
      <c r="AG101" s="155"/>
      <c r="AH101" s="156"/>
      <c r="AI101" s="148"/>
      <c r="AJ101" s="149"/>
      <c r="AK101" s="149"/>
      <c r="AL101" s="150"/>
      <c r="AM101" s="95"/>
      <c r="AN101" s="95"/>
      <c r="AO101" s="218">
        <v>1</v>
      </c>
      <c r="AP101" s="95"/>
      <c r="AQ101" s="95"/>
      <c r="AR101" s="137"/>
      <c r="AS101" s="95"/>
      <c r="AT101" s="232" t="s">
        <v>629</v>
      </c>
      <c r="AU101" s="137" t="s">
        <v>630</v>
      </c>
      <c r="AV101" s="137" t="s">
        <v>630</v>
      </c>
      <c r="AW101" s="137" t="s">
        <v>630</v>
      </c>
      <c r="AX101" s="95"/>
    </row>
    <row r="102" spans="1:50" s="147" customFormat="1" ht="151.5" hidden="1" customHeight="1" x14ac:dyDescent="0.25">
      <c r="A102" s="341"/>
      <c r="B102" s="340"/>
      <c r="C102" s="340"/>
      <c r="D102" s="340"/>
      <c r="E102" s="356"/>
      <c r="F102" s="356"/>
      <c r="G102" s="356"/>
      <c r="H102" s="359"/>
      <c r="I102" s="359"/>
      <c r="J102" s="387"/>
      <c r="K102" s="344"/>
      <c r="L102" s="347"/>
      <c r="M102" s="384"/>
      <c r="N102" s="347"/>
      <c r="O102" s="344"/>
      <c r="P102" s="347"/>
      <c r="Q102" s="350"/>
      <c r="R102" s="157">
        <v>3</v>
      </c>
      <c r="S102" s="158"/>
      <c r="T102" s="159"/>
      <c r="U102" s="151"/>
      <c r="V102" s="151"/>
      <c r="W102" s="160"/>
      <c r="X102" s="151"/>
      <c r="Y102" s="151"/>
      <c r="Z102" s="151"/>
      <c r="AA102" s="142"/>
      <c r="AB102" s="152"/>
      <c r="AC102" s="153"/>
      <c r="AD102" s="152"/>
      <c r="AE102" s="153"/>
      <c r="AF102" s="154"/>
      <c r="AG102" s="155"/>
      <c r="AH102" s="156"/>
      <c r="AI102" s="148"/>
      <c r="AJ102" s="149"/>
      <c r="AK102" s="149"/>
      <c r="AL102" s="150"/>
      <c r="AM102" s="95"/>
      <c r="AN102" s="95"/>
      <c r="AO102" s="218">
        <v>1</v>
      </c>
      <c r="AP102" s="95"/>
      <c r="AQ102" s="95"/>
      <c r="AR102" s="137"/>
      <c r="AS102" s="95"/>
      <c r="AT102" s="232" t="s">
        <v>629</v>
      </c>
      <c r="AU102" s="137" t="s">
        <v>630</v>
      </c>
      <c r="AV102" s="137" t="s">
        <v>630</v>
      </c>
      <c r="AW102" s="137" t="s">
        <v>630</v>
      </c>
      <c r="AX102" s="95"/>
    </row>
    <row r="103" spans="1:50" s="147" customFormat="1" ht="151.5" customHeight="1" x14ac:dyDescent="0.25">
      <c r="A103" s="341">
        <v>33</v>
      </c>
      <c r="B103" s="338" t="s">
        <v>310</v>
      </c>
      <c r="C103" s="360" t="s">
        <v>360</v>
      </c>
      <c r="D103" s="360" t="s">
        <v>403</v>
      </c>
      <c r="E103" s="354" t="s">
        <v>118</v>
      </c>
      <c r="F103" s="354" t="s">
        <v>311</v>
      </c>
      <c r="G103" s="354" t="s">
        <v>466</v>
      </c>
      <c r="H103" s="357" t="s">
        <v>465</v>
      </c>
      <c r="I103" s="354" t="s">
        <v>117</v>
      </c>
      <c r="J103" s="351">
        <v>365</v>
      </c>
      <c r="K103" s="342" t="str">
        <f>IF(J103&lt;=0,"",IF(J103&lt;=2,"Muy Baja",IF(J103&lt;=24,"Baja",IF(J103&lt;=500,"Media",IF(J103&lt;=5000,"Alta","Muy Alta")))))</f>
        <v>Media</v>
      </c>
      <c r="L103" s="345">
        <f>IF(K103="","",IF(K103="Muy Baja",0.2,IF(K103="Baja",0.4,IF(K103="Media",0.6,IF(K103="Alta",0.8,IF(K103="Muy Alta",1,))))))</f>
        <v>0.6</v>
      </c>
      <c r="M103" s="369" t="s">
        <v>486</v>
      </c>
      <c r="N103" s="161" t="str">
        <f>IF(NOT(ISERROR(MATCH(M103,'Tabla Impacto'!$B$221:$B$223,0))),'Tabla Impacto'!$F$223&amp;"Por favor no seleccionar los criterios de impacto(Afectación Económica o presupuestal y Pérdida Reputacional)",M103)</f>
        <v xml:space="preserve"> El riesgo afecta la imagen de la entidad con algunos usuarios de relevancia frente al logro de los objetivos</v>
      </c>
      <c r="O103" s="342" t="str">
        <f>IF(OR(N103='Tabla Impacto'!$C$11,N103='Tabla Impacto'!$D$11),"Leve",IF(OR(N103='Tabla Impacto'!$C$12,N103='Tabla Impacto'!$D$12),"Menor",IF(OR(N103='Tabla Impacto'!$C$13,N103='Tabla Impacto'!$D$13),"Moderado",IF(OR(N103='Tabla Impacto'!$C$14,N103='Tabla Impacto'!$D$14),"Mayor",IF(OR(N103='Tabla Impacto'!$C$15,N103='Tabla Impacto'!$D$15),"Catastrófico","")))))</f>
        <v>Moderado</v>
      </c>
      <c r="P103" s="345">
        <f>IF(O103="","",IF(O103="Leve",0.2,IF(O103="Menor",0.4,IF(O103="Moderado",0.6,IF(O103="Mayor",0.8,IF(O103="Catastrófico",1,))))))</f>
        <v>0.6</v>
      </c>
      <c r="Q103" s="348" t="str">
        <f>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Moderado</v>
      </c>
      <c r="R103" s="157">
        <v>1</v>
      </c>
      <c r="S103" s="158" t="s">
        <v>344</v>
      </c>
      <c r="T103" s="159" t="str">
        <f t="shared" ref="T103:T105" si="155">IF(OR(U103="Preventivo",U103="Detectivo"),"Probabilidad",IF(U103="Correctivo","Impacto",""))</f>
        <v>Probabilidad</v>
      </c>
      <c r="U103" s="162" t="s">
        <v>15</v>
      </c>
      <c r="V103" s="162" t="s">
        <v>9</v>
      </c>
      <c r="W103" s="163" t="str">
        <f t="shared" ref="W103:W104" si="156">IF(AND(U103="Preventivo",V103="Automático"),"50%",IF(AND(U103="Preventivo",V103="Manual"),"40%",IF(AND(U103="Detectivo",V103="Automático"),"40%",IF(AND(U103="Detectivo",V103="Manual"),"30%",IF(AND(U103="Correctivo",V103="Automático"),"35%",IF(AND(U103="Correctivo",V103="Manual"),"25%",""))))))</f>
        <v>30%</v>
      </c>
      <c r="X103" s="162" t="s">
        <v>19</v>
      </c>
      <c r="Y103" s="162" t="s">
        <v>22</v>
      </c>
      <c r="Z103" s="162" t="s">
        <v>110</v>
      </c>
      <c r="AA103" s="142">
        <f t="shared" ref="AA103" si="157">IFERROR(IF(T103="Probabilidad",(L103-(+L103*W103)),IF(T103="Impacto",L103,"")),"")</f>
        <v>0.42</v>
      </c>
      <c r="AB103" s="152" t="str">
        <f t="shared" ref="AB103:AB105" si="158">IFERROR(IF(AA103="","",IF(AA103&lt;=0.2,"Muy Baja",IF(AA103&lt;=0.4,"Baja",IF(AA103&lt;=0.6,"Media",IF(AA103&lt;=0.8,"Alta","Muy Alta"))))),"")</f>
        <v>Media</v>
      </c>
      <c r="AC103" s="153">
        <f t="shared" ref="AC103:AC105" si="159">+AA103</f>
        <v>0.42</v>
      </c>
      <c r="AD103" s="152" t="str">
        <f t="shared" ref="AD103:AD105" si="160">IFERROR(IF(AE103="","",IF(AE103&lt;=0.2,"Leve",IF(AE103&lt;=0.4,"Menor",IF(AE103&lt;=0.6,"Moderado",IF(AE103&lt;=0.8,"Mayor","Catastrófico"))))),"")</f>
        <v>Moderado</v>
      </c>
      <c r="AE103" s="153">
        <f t="shared" ref="AE103:AE105" si="161">IFERROR(IF(T103="Impacto",(P103-(+P103*W103)),IF(T103="Probabilidad",P103,"")),"")</f>
        <v>0.6</v>
      </c>
      <c r="AF103" s="154" t="str">
        <f t="shared" ref="AF103:AF105" si="162">IFERROR(IF(OR(AND(AB103="Muy Baja",AD103="Leve"),AND(AB103="Muy Baja",AD103="Menor"),AND(AB103="Baja",AD103="Leve")),"Bajo",IF(OR(AND(AB103="Muy baja",AD103="Moderado"),AND(AB103="Baja",AD103="Menor"),AND(AB103="Baja",AD103="Moderado"),AND(AB103="Media",AD103="Leve"),AND(AB103="Media",AD103="Menor"),AND(AB103="Media",AD103="Moderado"),AND(AB103="Alta",AD103="Leve"),AND(AB103="Alta",AD103="Menor")),"Moderado",IF(OR(AND(AB103="Muy Baja",AD103="Mayor"),AND(AB103="Baja",AD103="Mayor"),AND(AB103="Media",AD103="Mayor"),AND(AB103="Alta",AD103="Moderado"),AND(AB103="Alta",AD103="Mayor"),AND(AB103="Muy Alta",AD103="Leve"),AND(AB103="Muy Alta",AD103="Menor"),AND(AB103="Muy Alta",AD103="Moderado"),AND(AB103="Muy Alta",AD103="Mayor")),"Alto",IF(OR(AND(AB103="Muy Baja",AD103="Catastrófico"),AND(AB103="Baja",AD103="Catastrófico"),AND(AB103="Media",AD103="Catastrófico"),AND(AB103="Alta",AD103="Catastrófico"),AND(AB103="Muy Alta",AD103="Catastrófico")),"Extremo","")))),"")</f>
        <v>Moderado</v>
      </c>
      <c r="AG103" s="155" t="s">
        <v>122</v>
      </c>
      <c r="AH103" s="156" t="s">
        <v>404</v>
      </c>
      <c r="AI103" s="148" t="s">
        <v>203</v>
      </c>
      <c r="AJ103" s="149" t="s">
        <v>199</v>
      </c>
      <c r="AK103" s="149" t="s">
        <v>199</v>
      </c>
      <c r="AL103" s="150" t="s">
        <v>406</v>
      </c>
      <c r="AM103" s="95" t="s">
        <v>864</v>
      </c>
      <c r="AN103" s="237" t="s">
        <v>714</v>
      </c>
      <c r="AO103" s="239">
        <v>1</v>
      </c>
      <c r="AP103" s="237" t="s">
        <v>715</v>
      </c>
      <c r="AQ103" s="242"/>
      <c r="AR103" s="239">
        <v>0.66</v>
      </c>
      <c r="AS103" s="237"/>
      <c r="AT103" s="241" t="s">
        <v>629</v>
      </c>
      <c r="AU103" s="235" t="s">
        <v>630</v>
      </c>
      <c r="AV103" s="235" t="s">
        <v>630</v>
      </c>
      <c r="AW103" s="235" t="s">
        <v>630</v>
      </c>
      <c r="AX103" s="237" t="s">
        <v>850</v>
      </c>
    </row>
    <row r="104" spans="1:50" s="147" customFormat="1" ht="151.5" customHeight="1" x14ac:dyDescent="0.25">
      <c r="A104" s="341"/>
      <c r="B104" s="339"/>
      <c r="C104" s="379"/>
      <c r="D104" s="379"/>
      <c r="E104" s="355"/>
      <c r="F104" s="355"/>
      <c r="G104" s="355"/>
      <c r="H104" s="358"/>
      <c r="I104" s="355"/>
      <c r="J104" s="352"/>
      <c r="K104" s="343"/>
      <c r="L104" s="346"/>
      <c r="M104" s="370"/>
      <c r="N104" s="167"/>
      <c r="O104" s="343"/>
      <c r="P104" s="346"/>
      <c r="Q104" s="349"/>
      <c r="R104" s="157">
        <v>2</v>
      </c>
      <c r="S104" s="158" t="s">
        <v>350</v>
      </c>
      <c r="T104" s="159" t="str">
        <f t="shared" si="155"/>
        <v>Probabilidad</v>
      </c>
      <c r="U104" s="162" t="s">
        <v>14</v>
      </c>
      <c r="V104" s="162" t="s">
        <v>9</v>
      </c>
      <c r="W104" s="163" t="str">
        <f t="shared" si="156"/>
        <v>40%</v>
      </c>
      <c r="X104" s="162" t="s">
        <v>19</v>
      </c>
      <c r="Y104" s="162" t="s">
        <v>23</v>
      </c>
      <c r="Z104" s="162" t="s">
        <v>110</v>
      </c>
      <c r="AA104" s="142">
        <f>IFERROR(IF(T104="Probabilidad",(AA103-(+AA103*W104)),IF(T104="Impacto",L104,"")),"")</f>
        <v>0.252</v>
      </c>
      <c r="AB104" s="152" t="str">
        <f t="shared" si="158"/>
        <v>Baja</v>
      </c>
      <c r="AC104" s="153">
        <f t="shared" si="159"/>
        <v>0.252</v>
      </c>
      <c r="AD104" s="152" t="str">
        <f t="shared" si="160"/>
        <v>Moderado</v>
      </c>
      <c r="AE104" s="153">
        <v>0.6</v>
      </c>
      <c r="AF104" s="154" t="str">
        <f t="shared" si="162"/>
        <v>Moderado</v>
      </c>
      <c r="AG104" s="155" t="s">
        <v>122</v>
      </c>
      <c r="AH104" s="164" t="s">
        <v>312</v>
      </c>
      <c r="AI104" s="165" t="s">
        <v>212</v>
      </c>
      <c r="AJ104" s="166" t="s">
        <v>199</v>
      </c>
      <c r="AK104" s="166" t="s">
        <v>199</v>
      </c>
      <c r="AL104" s="164" t="s">
        <v>405</v>
      </c>
      <c r="AM104" s="224" t="s">
        <v>716</v>
      </c>
      <c r="AN104" s="221" t="s">
        <v>837</v>
      </c>
      <c r="AO104" s="218">
        <v>1</v>
      </c>
      <c r="AP104" s="221" t="s">
        <v>717</v>
      </c>
      <c r="AQ104" s="224" t="s">
        <v>718</v>
      </c>
      <c r="AR104" s="218">
        <v>1</v>
      </c>
      <c r="AS104" s="95"/>
      <c r="AT104" s="232" t="s">
        <v>629</v>
      </c>
      <c r="AU104" s="137" t="s">
        <v>630</v>
      </c>
      <c r="AV104" s="137" t="s">
        <v>630</v>
      </c>
      <c r="AW104" s="137" t="s">
        <v>630</v>
      </c>
      <c r="AX104" s="95"/>
    </row>
    <row r="105" spans="1:50" s="147" customFormat="1" ht="99.75" hidden="1" customHeight="1" x14ac:dyDescent="0.25">
      <c r="A105" s="341"/>
      <c r="B105" s="340"/>
      <c r="C105" s="379"/>
      <c r="D105" s="379"/>
      <c r="E105" s="355"/>
      <c r="F105" s="355"/>
      <c r="G105" s="355"/>
      <c r="H105" s="358"/>
      <c r="I105" s="355"/>
      <c r="J105" s="352"/>
      <c r="K105" s="344"/>
      <c r="L105" s="347"/>
      <c r="M105" s="370"/>
      <c r="N105" s="167"/>
      <c r="O105" s="344"/>
      <c r="P105" s="347"/>
      <c r="Q105" s="350"/>
      <c r="R105" s="157">
        <v>3</v>
      </c>
      <c r="S105" s="158"/>
      <c r="T105" s="159" t="str">
        <f t="shared" si="155"/>
        <v/>
      </c>
      <c r="U105" s="162"/>
      <c r="V105" s="162"/>
      <c r="W105" s="163"/>
      <c r="X105" s="162"/>
      <c r="Y105" s="162"/>
      <c r="Z105" s="162"/>
      <c r="AA105" s="142" t="str">
        <f>IFERROR(IF(T105="Probabilidad",(AA104-(+AA104*W105)),IF(T105="Impacto",L105,"")),"")</f>
        <v/>
      </c>
      <c r="AB105" s="152" t="str">
        <f t="shared" si="158"/>
        <v/>
      </c>
      <c r="AC105" s="153" t="str">
        <f t="shared" si="159"/>
        <v/>
      </c>
      <c r="AD105" s="152" t="str">
        <f t="shared" si="160"/>
        <v/>
      </c>
      <c r="AE105" s="153" t="str">
        <f t="shared" si="161"/>
        <v/>
      </c>
      <c r="AF105" s="154" t="str">
        <f t="shared" si="162"/>
        <v/>
      </c>
      <c r="AG105" s="155"/>
      <c r="AH105" s="158"/>
      <c r="AI105" s="148"/>
      <c r="AJ105" s="149"/>
      <c r="AK105" s="149"/>
      <c r="AL105" s="158"/>
      <c r="AM105" s="95"/>
      <c r="AN105" s="95"/>
      <c r="AO105" s="218">
        <v>1</v>
      </c>
      <c r="AP105" s="95"/>
      <c r="AQ105" s="95"/>
      <c r="AR105" s="218">
        <v>1</v>
      </c>
      <c r="AS105" s="95"/>
      <c r="AT105" s="232" t="s">
        <v>629</v>
      </c>
      <c r="AU105" s="137" t="s">
        <v>630</v>
      </c>
      <c r="AV105" s="137" t="s">
        <v>630</v>
      </c>
      <c r="AW105" s="137" t="s">
        <v>630</v>
      </c>
      <c r="AX105" s="95"/>
    </row>
    <row r="106" spans="1:50" s="147" customFormat="1" ht="151.5" customHeight="1" x14ac:dyDescent="0.25">
      <c r="A106" s="341">
        <v>34</v>
      </c>
      <c r="B106" s="338" t="s">
        <v>310</v>
      </c>
      <c r="C106" s="360" t="s">
        <v>360</v>
      </c>
      <c r="D106" s="360" t="s">
        <v>403</v>
      </c>
      <c r="E106" s="354" t="s">
        <v>118</v>
      </c>
      <c r="F106" s="354" t="s">
        <v>313</v>
      </c>
      <c r="G106" s="354" t="s">
        <v>333</v>
      </c>
      <c r="H106" s="357" t="s">
        <v>407</v>
      </c>
      <c r="I106" s="354" t="s">
        <v>328</v>
      </c>
      <c r="J106" s="351">
        <v>365</v>
      </c>
      <c r="K106" s="342" t="str">
        <f>IF(J106&lt;=0,"",IF(J106&lt;=2,"Muy Baja",IF(J106&lt;=24,"Baja",IF(J106&lt;=500,"Media",IF(J106&lt;=5000,"Alta","Muy Alta")))))</f>
        <v>Media</v>
      </c>
      <c r="L106" s="345">
        <f>IF(K106="","",IF(K106="Muy Baja",0.2,IF(K106="Baja",0.4,IF(K106="Media",0.6,IF(K106="Alta",0.8,IF(K106="Muy Alta",1,))))))</f>
        <v>0.6</v>
      </c>
      <c r="M106" s="369" t="s">
        <v>486</v>
      </c>
      <c r="N106" s="161" t="str">
        <f>IF(NOT(ISERROR(MATCH(M106,'Tabla Impacto'!$B$221:$B$223,0))),'Tabla Impacto'!$F$223&amp;"Por favor no seleccionar los criterios de impacto(Afectación Económica o presupuestal y Pérdida Reputacional)",M106)</f>
        <v xml:space="preserve"> El riesgo afecta la imagen de la entidad con algunos usuarios de relevancia frente al logro de los objetivos</v>
      </c>
      <c r="O106" s="342" t="str">
        <f>IF(OR(N106='Tabla Impacto'!$C$11,N106='Tabla Impacto'!$D$11),"Leve",IF(OR(N106='Tabla Impacto'!$C$12,N106='Tabla Impacto'!$D$12),"Menor",IF(OR(N106='Tabla Impacto'!$C$13,N106='Tabla Impacto'!$D$13),"Moderado",IF(OR(N106='Tabla Impacto'!$C$14,N106='Tabla Impacto'!$D$14),"Mayor",IF(OR(N106='Tabla Impacto'!$C$15,N106='Tabla Impacto'!$D$15),"Catastrófico","")))))</f>
        <v>Moderado</v>
      </c>
      <c r="P106" s="345">
        <f>IF(O106="","",IF(O106="Leve",0.2,IF(O106="Menor",0.4,IF(O106="Moderado",0.6,IF(O106="Mayor",0.8,IF(O106="Catastrófico",1,))))))</f>
        <v>0.6</v>
      </c>
      <c r="Q106" s="348" t="str">
        <f>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Moderado</v>
      </c>
      <c r="R106" s="157">
        <v>1</v>
      </c>
      <c r="S106" s="158" t="s">
        <v>334</v>
      </c>
      <c r="T106" s="159" t="str">
        <f t="shared" si="25"/>
        <v>Probabilidad</v>
      </c>
      <c r="U106" s="162" t="s">
        <v>14</v>
      </c>
      <c r="V106" s="162" t="s">
        <v>9</v>
      </c>
      <c r="W106" s="163" t="str">
        <f t="shared" si="26"/>
        <v>40%</v>
      </c>
      <c r="X106" s="162" t="s">
        <v>19</v>
      </c>
      <c r="Y106" s="162" t="s">
        <v>23</v>
      </c>
      <c r="Z106" s="162" t="s">
        <v>110</v>
      </c>
      <c r="AA106" s="142">
        <f t="shared" si="27"/>
        <v>0.36</v>
      </c>
      <c r="AB106" s="152" t="str">
        <f t="shared" si="28"/>
        <v>Baja</v>
      </c>
      <c r="AC106" s="153">
        <f t="shared" si="29"/>
        <v>0.36</v>
      </c>
      <c r="AD106" s="152" t="str">
        <f t="shared" si="30"/>
        <v>Moderado</v>
      </c>
      <c r="AE106" s="153">
        <f t="shared" si="31"/>
        <v>0.6</v>
      </c>
      <c r="AF106" s="154" t="str">
        <f t="shared" si="32"/>
        <v>Moderado</v>
      </c>
      <c r="AG106" s="155" t="s">
        <v>122</v>
      </c>
      <c r="AH106" s="164" t="s">
        <v>335</v>
      </c>
      <c r="AI106" s="165" t="s">
        <v>282</v>
      </c>
      <c r="AJ106" s="166" t="s">
        <v>199</v>
      </c>
      <c r="AK106" s="166" t="s">
        <v>199</v>
      </c>
      <c r="AL106" s="164" t="s">
        <v>408</v>
      </c>
      <c r="AM106" s="221" t="s">
        <v>719</v>
      </c>
      <c r="AN106" s="224" t="s">
        <v>838</v>
      </c>
      <c r="AO106" s="218">
        <v>1</v>
      </c>
      <c r="AP106" s="221" t="s">
        <v>720</v>
      </c>
      <c r="AQ106" s="224" t="s">
        <v>838</v>
      </c>
      <c r="AR106" s="218">
        <v>1</v>
      </c>
      <c r="AS106" s="95"/>
      <c r="AT106" s="232" t="s">
        <v>629</v>
      </c>
      <c r="AU106" s="137" t="s">
        <v>630</v>
      </c>
      <c r="AV106" s="137" t="s">
        <v>630</v>
      </c>
      <c r="AW106" s="137" t="s">
        <v>630</v>
      </c>
      <c r="AX106" s="95"/>
    </row>
    <row r="107" spans="1:50" s="147" customFormat="1" ht="151.5" customHeight="1" x14ac:dyDescent="0.25">
      <c r="A107" s="341"/>
      <c r="B107" s="339"/>
      <c r="C107" s="379"/>
      <c r="D107" s="379"/>
      <c r="E107" s="355"/>
      <c r="F107" s="355"/>
      <c r="G107" s="355"/>
      <c r="H107" s="358"/>
      <c r="I107" s="355"/>
      <c r="J107" s="352"/>
      <c r="K107" s="343"/>
      <c r="L107" s="346"/>
      <c r="M107" s="370"/>
      <c r="N107" s="167"/>
      <c r="O107" s="343"/>
      <c r="P107" s="346"/>
      <c r="Q107" s="349"/>
      <c r="R107" s="157">
        <v>2</v>
      </c>
      <c r="S107" s="158" t="s">
        <v>345</v>
      </c>
      <c r="T107" s="159" t="str">
        <f t="shared" ref="T107:T108" si="163">IF(OR(U107="Preventivo",U107="Detectivo"),"Probabilidad",IF(U107="Correctivo","Impacto",""))</f>
        <v>Probabilidad</v>
      </c>
      <c r="U107" s="162" t="s">
        <v>14</v>
      </c>
      <c r="V107" s="162" t="s">
        <v>9</v>
      </c>
      <c r="W107" s="163" t="str">
        <f t="shared" ref="W107" si="164">IF(AND(U107="Preventivo",V107="Automático"),"50%",IF(AND(U107="Preventivo",V107="Manual"),"40%",IF(AND(U107="Detectivo",V107="Automático"),"40%",IF(AND(U107="Detectivo",V107="Manual"),"30%",IF(AND(U107="Correctivo",V107="Automático"),"35%",IF(AND(U107="Correctivo",V107="Manual"),"25%",""))))))</f>
        <v>40%</v>
      </c>
      <c r="X107" s="162" t="s">
        <v>20</v>
      </c>
      <c r="Y107" s="162" t="s">
        <v>22</v>
      </c>
      <c r="Z107" s="162" t="s">
        <v>110</v>
      </c>
      <c r="AA107" s="142">
        <f>IFERROR(IF(T107="Probabilidad",(AA106-(+AA106*W107)),IF(T107="Impacto",L107,"")),"")</f>
        <v>0.216</v>
      </c>
      <c r="AB107" s="152" t="str">
        <f t="shared" ref="AB107:AB108" si="165">IFERROR(IF(AA107="","",IF(AA107&lt;=0.2,"Muy Baja",IF(AA107&lt;=0.4,"Baja",IF(AA107&lt;=0.6,"Media",IF(AA107&lt;=0.8,"Alta","Muy Alta"))))),"")</f>
        <v>Baja</v>
      </c>
      <c r="AC107" s="153">
        <f t="shared" ref="AC107:AC108" si="166">+AA107</f>
        <v>0.216</v>
      </c>
      <c r="AD107" s="152" t="str">
        <f t="shared" ref="AD107:AD108" si="167">IFERROR(IF(AE107="","",IF(AE107&lt;=0.2,"Leve",IF(AE107&lt;=0.4,"Menor",IF(AE107&lt;=0.6,"Moderado",IF(AE107&lt;=0.8,"Mayor","Catastrófico"))))),"")</f>
        <v>Moderado</v>
      </c>
      <c r="AE107" s="153">
        <v>0.6</v>
      </c>
      <c r="AF107" s="154" t="str">
        <f t="shared" ref="AF107:AF108" si="168">IFERROR(IF(OR(AND(AB107="Muy Baja",AD107="Leve"),AND(AB107="Muy Baja",AD107="Menor"),AND(AB107="Baja",AD107="Leve")),"Bajo",IF(OR(AND(AB107="Muy baja",AD107="Moderado"),AND(AB107="Baja",AD107="Menor"),AND(AB107="Baja",AD107="Moderado"),AND(AB107="Media",AD107="Leve"),AND(AB107="Media",AD107="Menor"),AND(AB107="Media",AD107="Moderado"),AND(AB107="Alta",AD107="Leve"),AND(AB107="Alta",AD107="Menor")),"Moderado",IF(OR(AND(AB107="Muy Baja",AD107="Mayor"),AND(AB107="Baja",AD107="Mayor"),AND(AB107="Media",AD107="Mayor"),AND(AB107="Alta",AD107="Moderado"),AND(AB107="Alta",AD107="Mayor"),AND(AB107="Muy Alta",AD107="Leve"),AND(AB107="Muy Alta",AD107="Menor"),AND(AB107="Muy Alta",AD107="Moderado"),AND(AB107="Muy Alta",AD107="Mayor")),"Alto",IF(OR(AND(AB107="Muy Baja",AD107="Catastrófico"),AND(AB107="Baja",AD107="Catastrófico"),AND(AB107="Media",AD107="Catastrófico"),AND(AB107="Alta",AD107="Catastrófico"),AND(AB107="Muy Alta",AD107="Catastrófico")),"Extremo","")))),"")</f>
        <v>Moderado</v>
      </c>
      <c r="AG107" s="155" t="s">
        <v>122</v>
      </c>
      <c r="AH107" s="164" t="s">
        <v>404</v>
      </c>
      <c r="AI107" s="165" t="s">
        <v>203</v>
      </c>
      <c r="AJ107" s="166" t="s">
        <v>199</v>
      </c>
      <c r="AK107" s="166" t="s">
        <v>199</v>
      </c>
      <c r="AL107" s="164" t="s">
        <v>406</v>
      </c>
      <c r="AM107" s="224" t="s">
        <v>839</v>
      </c>
      <c r="AN107" s="221" t="s">
        <v>721</v>
      </c>
      <c r="AO107" s="218">
        <v>1</v>
      </c>
      <c r="AP107" s="221" t="s">
        <v>722</v>
      </c>
      <c r="AQ107" s="221" t="s">
        <v>723</v>
      </c>
      <c r="AR107" s="218">
        <v>1</v>
      </c>
      <c r="AS107" s="95"/>
      <c r="AT107" s="232" t="s">
        <v>629</v>
      </c>
      <c r="AU107" s="137" t="s">
        <v>630</v>
      </c>
      <c r="AV107" s="137" t="s">
        <v>630</v>
      </c>
      <c r="AW107" s="137" t="s">
        <v>630</v>
      </c>
      <c r="AX107" s="95"/>
    </row>
    <row r="108" spans="1:50" s="147" customFormat="1" ht="151.5" hidden="1" customHeight="1" x14ac:dyDescent="0.25">
      <c r="A108" s="341"/>
      <c r="B108" s="340"/>
      <c r="C108" s="379"/>
      <c r="D108" s="379"/>
      <c r="E108" s="355"/>
      <c r="F108" s="355"/>
      <c r="G108" s="355"/>
      <c r="H108" s="358"/>
      <c r="I108" s="355"/>
      <c r="J108" s="352"/>
      <c r="K108" s="344"/>
      <c r="L108" s="347"/>
      <c r="M108" s="370"/>
      <c r="N108" s="167"/>
      <c r="O108" s="344"/>
      <c r="P108" s="347"/>
      <c r="Q108" s="350"/>
      <c r="R108" s="157">
        <v>3</v>
      </c>
      <c r="S108" s="158"/>
      <c r="T108" s="159" t="str">
        <f t="shared" si="163"/>
        <v/>
      </c>
      <c r="U108" s="162"/>
      <c r="V108" s="162"/>
      <c r="W108" s="163"/>
      <c r="X108" s="162"/>
      <c r="Y108" s="162"/>
      <c r="Z108" s="162"/>
      <c r="AA108" s="142" t="str">
        <f>IFERROR(IF(T108="Probabilidad",(AA107-(+AA107*W108)),IF(T108="Impacto",L108,"")),"")</f>
        <v/>
      </c>
      <c r="AB108" s="152" t="str">
        <f t="shared" si="165"/>
        <v/>
      </c>
      <c r="AC108" s="153" t="str">
        <f t="shared" si="166"/>
        <v/>
      </c>
      <c r="AD108" s="152" t="str">
        <f t="shared" si="167"/>
        <v/>
      </c>
      <c r="AE108" s="153" t="str">
        <f t="shared" ref="AE108" si="169">IFERROR(IF(T108="Impacto",(P108-(+P108*W108)),IF(T108="Probabilidad",P108,"")),"")</f>
        <v/>
      </c>
      <c r="AF108" s="154" t="str">
        <f t="shared" si="168"/>
        <v/>
      </c>
      <c r="AG108" s="155"/>
      <c r="AH108" s="158"/>
      <c r="AI108" s="148"/>
      <c r="AJ108" s="149"/>
      <c r="AK108" s="149"/>
      <c r="AL108" s="158"/>
      <c r="AM108" s="95"/>
      <c r="AN108" s="95"/>
      <c r="AO108" s="218">
        <v>1</v>
      </c>
      <c r="AP108" s="95"/>
      <c r="AQ108" s="95"/>
      <c r="AR108" s="218">
        <v>1</v>
      </c>
      <c r="AS108" s="95"/>
      <c r="AT108" s="232" t="s">
        <v>629</v>
      </c>
      <c r="AU108" s="137" t="s">
        <v>630</v>
      </c>
      <c r="AV108" s="137" t="s">
        <v>630</v>
      </c>
      <c r="AW108" s="137" t="s">
        <v>630</v>
      </c>
      <c r="AX108" s="95"/>
    </row>
    <row r="109" spans="1:50" s="147" customFormat="1" ht="151.5" customHeight="1" x14ac:dyDescent="0.25">
      <c r="A109" s="341">
        <v>35</v>
      </c>
      <c r="B109" s="338" t="s">
        <v>310</v>
      </c>
      <c r="C109" s="360" t="s">
        <v>360</v>
      </c>
      <c r="D109" s="360" t="s">
        <v>403</v>
      </c>
      <c r="E109" s="354" t="s">
        <v>120</v>
      </c>
      <c r="F109" s="354" t="s">
        <v>315</v>
      </c>
      <c r="G109" s="354" t="s">
        <v>316</v>
      </c>
      <c r="H109" s="357" t="s">
        <v>314</v>
      </c>
      <c r="I109" s="354" t="s">
        <v>336</v>
      </c>
      <c r="J109" s="351">
        <v>365</v>
      </c>
      <c r="K109" s="342" t="str">
        <f>IF(J109&lt;=0,"",IF(J109&lt;=2,"Muy Baja",IF(J109&lt;=24,"Baja",IF(J109&lt;=500,"Media",IF(J109&lt;=5000,"Alta","Muy Alta")))))</f>
        <v>Media</v>
      </c>
      <c r="L109" s="345">
        <f>IF(K109="","",IF(K109="Muy Baja",0.2,IF(K109="Baja",0.4,IF(K109="Media",0.6,IF(K109="Alta",0.8,IF(K109="Muy Alta",1,))))))</f>
        <v>0.6</v>
      </c>
      <c r="M109" s="369" t="s">
        <v>493</v>
      </c>
      <c r="N109" s="161" t="str">
        <f>IF(NOT(ISERROR(MATCH(M109,'Tabla Impacto'!$B$221:$B$223,0))),'Tabla Impacto'!$F$223&amp;"Por favor no seleccionar los criterios de impacto(Afectación Económica o presupuestal y Pérdida Reputacional)",M109)</f>
        <v xml:space="preserve"> El riesgo afecta la imagen de la entidad con efecto publicitario sostenido a nivel de sector administrativo, nivel departamental o municipal</v>
      </c>
      <c r="O109" s="342" t="str">
        <f>IF(OR(N109='Tabla Impacto'!$C$11,N109='Tabla Impacto'!$D$11),"Leve",IF(OR(N109='Tabla Impacto'!$C$12,N109='Tabla Impacto'!$D$12),"Menor",IF(OR(N109='Tabla Impacto'!$C$13,N109='Tabla Impacto'!$D$13),"Moderado",IF(OR(N109='Tabla Impacto'!$C$14,N109='Tabla Impacto'!$D$14),"Mayor",IF(OR(N109='Tabla Impacto'!$C$15,N109='Tabla Impacto'!$D$15),"Catastrófico","")))))</f>
        <v>Mayor</v>
      </c>
      <c r="P109" s="345">
        <f>IF(O109="","",IF(O109="Leve",0.2,IF(O109="Menor",0.4,IF(O109="Moderado",0.6,IF(O109="Mayor",0.8,IF(O109="Catastrófico",1,))))))</f>
        <v>0.8</v>
      </c>
      <c r="Q109" s="348" t="str">
        <f>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Alto</v>
      </c>
      <c r="R109" s="157">
        <v>1</v>
      </c>
      <c r="S109" s="158" t="s">
        <v>351</v>
      </c>
      <c r="T109" s="159" t="str">
        <f t="shared" ref="T109:T111" si="170">IF(OR(U109="Preventivo",U109="Detectivo"),"Probabilidad",IF(U109="Correctivo","Impacto",""))</f>
        <v>Probabilidad</v>
      </c>
      <c r="U109" s="162" t="s">
        <v>14</v>
      </c>
      <c r="V109" s="162" t="s">
        <v>9</v>
      </c>
      <c r="W109" s="163" t="str">
        <f t="shared" ref="W109:W110" si="171">IF(AND(U109="Preventivo",V109="Automático"),"50%",IF(AND(U109="Preventivo",V109="Manual"),"40%",IF(AND(U109="Detectivo",V109="Automático"),"40%",IF(AND(U109="Detectivo",V109="Manual"),"30%",IF(AND(U109="Correctivo",V109="Automático"),"35%",IF(AND(U109="Correctivo",V109="Manual"),"25%",""))))))</f>
        <v>40%</v>
      </c>
      <c r="X109" s="162" t="s">
        <v>19</v>
      </c>
      <c r="Y109" s="162" t="s">
        <v>22</v>
      </c>
      <c r="Z109" s="162" t="s">
        <v>110</v>
      </c>
      <c r="AA109" s="142">
        <f t="shared" ref="AA109" si="172">IFERROR(IF(T109="Probabilidad",(L109-(+L109*W109)),IF(T109="Impacto",L109,"")),"")</f>
        <v>0.36</v>
      </c>
      <c r="AB109" s="152" t="str">
        <f t="shared" ref="AB109:AB111" si="173">IFERROR(IF(AA109="","",IF(AA109&lt;=0.2,"Muy Baja",IF(AA109&lt;=0.4,"Baja",IF(AA109&lt;=0.6,"Media",IF(AA109&lt;=0.8,"Alta","Muy Alta"))))),"")</f>
        <v>Baja</v>
      </c>
      <c r="AC109" s="153">
        <f t="shared" ref="AC109:AC111" si="174">+AA109</f>
        <v>0.36</v>
      </c>
      <c r="AD109" s="152" t="str">
        <f t="shared" ref="AD109:AD111" si="175">IFERROR(IF(AE109="","",IF(AE109&lt;=0.2,"Leve",IF(AE109&lt;=0.4,"Menor",IF(AE109&lt;=0.6,"Moderado",IF(AE109&lt;=0.8,"Mayor","Catastrófico"))))),"")</f>
        <v>Mayor</v>
      </c>
      <c r="AE109" s="153">
        <f t="shared" ref="AE109:AE111" si="176">IFERROR(IF(T109="Impacto",(P109-(+P109*W109)),IF(T109="Probabilidad",P109,"")),"")</f>
        <v>0.8</v>
      </c>
      <c r="AF109" s="154" t="str">
        <f t="shared" ref="AF109:AF111" si="177">IFERROR(IF(OR(AND(AB109="Muy Baja",AD109="Leve"),AND(AB109="Muy Baja",AD109="Menor"),AND(AB109="Baja",AD109="Leve")),"Bajo",IF(OR(AND(AB109="Muy baja",AD109="Moderado"),AND(AB109="Baja",AD109="Menor"),AND(AB109="Baja",AD109="Moderado"),AND(AB109="Media",AD109="Leve"),AND(AB109="Media",AD109="Menor"),AND(AB109="Media",AD109="Moderado"),AND(AB109="Alta",AD109="Leve"),AND(AB109="Alta",AD109="Menor")),"Moderado",IF(OR(AND(AB109="Muy Baja",AD109="Mayor"),AND(AB109="Baja",AD109="Mayor"),AND(AB109="Media",AD109="Mayor"),AND(AB109="Alta",AD109="Moderado"),AND(AB109="Alta",AD109="Mayor"),AND(AB109="Muy Alta",AD109="Leve"),AND(AB109="Muy Alta",AD109="Menor"),AND(AB109="Muy Alta",AD109="Moderado"),AND(AB109="Muy Alta",AD109="Mayor")),"Alto",IF(OR(AND(AB109="Muy Baja",AD109="Catastrófico"),AND(AB109="Baja",AD109="Catastrófico"),AND(AB109="Media",AD109="Catastrófico"),AND(AB109="Alta",AD109="Catastrófico"),AND(AB109="Muy Alta",AD109="Catastrófico")),"Extremo","")))),"")</f>
        <v>Alto</v>
      </c>
      <c r="AG109" s="155" t="s">
        <v>122</v>
      </c>
      <c r="AH109" s="164" t="s">
        <v>312</v>
      </c>
      <c r="AI109" s="165" t="s">
        <v>212</v>
      </c>
      <c r="AJ109" s="166" t="s">
        <v>199</v>
      </c>
      <c r="AK109" s="166" t="s">
        <v>199</v>
      </c>
      <c r="AL109" s="164" t="s">
        <v>405</v>
      </c>
      <c r="AM109" s="221" t="s">
        <v>724</v>
      </c>
      <c r="AN109" s="221" t="s">
        <v>840</v>
      </c>
      <c r="AO109" s="218">
        <v>1</v>
      </c>
      <c r="AP109" s="221" t="s">
        <v>725</v>
      </c>
      <c r="AQ109" s="221" t="s">
        <v>841</v>
      </c>
      <c r="AR109" s="218">
        <v>1</v>
      </c>
      <c r="AS109" s="95"/>
      <c r="AT109" s="232" t="s">
        <v>629</v>
      </c>
      <c r="AU109" s="137" t="s">
        <v>630</v>
      </c>
      <c r="AV109" s="137" t="s">
        <v>630</v>
      </c>
      <c r="AW109" s="137" t="s">
        <v>630</v>
      </c>
      <c r="AX109" s="95"/>
    </row>
    <row r="110" spans="1:50" s="147" customFormat="1" ht="151.5" customHeight="1" x14ac:dyDescent="0.25">
      <c r="A110" s="341"/>
      <c r="B110" s="339"/>
      <c r="C110" s="379"/>
      <c r="D110" s="379"/>
      <c r="E110" s="355"/>
      <c r="F110" s="355"/>
      <c r="G110" s="355"/>
      <c r="H110" s="358"/>
      <c r="I110" s="355"/>
      <c r="J110" s="352"/>
      <c r="K110" s="343"/>
      <c r="L110" s="346"/>
      <c r="M110" s="370"/>
      <c r="N110" s="167"/>
      <c r="O110" s="343"/>
      <c r="P110" s="346"/>
      <c r="Q110" s="349"/>
      <c r="R110" s="157">
        <v>2</v>
      </c>
      <c r="S110" s="158" t="s">
        <v>346</v>
      </c>
      <c r="T110" s="159" t="str">
        <f t="shared" si="170"/>
        <v>Probabilidad</v>
      </c>
      <c r="U110" s="162" t="s">
        <v>15</v>
      </c>
      <c r="V110" s="162" t="s">
        <v>10</v>
      </c>
      <c r="W110" s="163" t="str">
        <f t="shared" si="171"/>
        <v>40%</v>
      </c>
      <c r="X110" s="162" t="s">
        <v>19</v>
      </c>
      <c r="Y110" s="162" t="s">
        <v>22</v>
      </c>
      <c r="Z110" s="162" t="s">
        <v>110</v>
      </c>
      <c r="AA110" s="142">
        <f>IFERROR(IF(T110="Probabilidad",(AA109-(+AA109*W110)),IF(T110="Impacto",L110,"")),"")</f>
        <v>0.216</v>
      </c>
      <c r="AB110" s="152" t="str">
        <f t="shared" si="173"/>
        <v>Baja</v>
      </c>
      <c r="AC110" s="153">
        <f t="shared" si="174"/>
        <v>0.216</v>
      </c>
      <c r="AD110" s="152" t="str">
        <f t="shared" si="175"/>
        <v>Mayor</v>
      </c>
      <c r="AE110" s="153">
        <v>0.8</v>
      </c>
      <c r="AF110" s="154" t="str">
        <f t="shared" si="177"/>
        <v>Alto</v>
      </c>
      <c r="AG110" s="155" t="s">
        <v>122</v>
      </c>
      <c r="AH110" s="168" t="s">
        <v>409</v>
      </c>
      <c r="AI110" s="165" t="s">
        <v>203</v>
      </c>
      <c r="AJ110" s="166" t="s">
        <v>199</v>
      </c>
      <c r="AK110" s="166" t="s">
        <v>199</v>
      </c>
      <c r="AL110" s="164" t="s">
        <v>410</v>
      </c>
      <c r="AM110" s="221" t="s">
        <v>842</v>
      </c>
      <c r="AN110" s="221" t="s">
        <v>837</v>
      </c>
      <c r="AO110" s="218">
        <v>1</v>
      </c>
      <c r="AP110" s="221" t="s">
        <v>843</v>
      </c>
      <c r="AQ110" s="221" t="s">
        <v>844</v>
      </c>
      <c r="AR110" s="218">
        <v>1</v>
      </c>
      <c r="AS110" s="95"/>
      <c r="AT110" s="232" t="s">
        <v>629</v>
      </c>
      <c r="AU110" s="137" t="s">
        <v>630</v>
      </c>
      <c r="AV110" s="137" t="s">
        <v>630</v>
      </c>
      <c r="AW110" s="137" t="s">
        <v>630</v>
      </c>
      <c r="AX110" s="95"/>
    </row>
    <row r="111" spans="1:50" s="147" customFormat="1" ht="151.5" hidden="1" customHeight="1" x14ac:dyDescent="0.25">
      <c r="A111" s="341"/>
      <c r="B111" s="340"/>
      <c r="C111" s="379"/>
      <c r="D111" s="379"/>
      <c r="E111" s="355"/>
      <c r="F111" s="355"/>
      <c r="G111" s="355"/>
      <c r="H111" s="358"/>
      <c r="I111" s="355"/>
      <c r="J111" s="352"/>
      <c r="K111" s="344"/>
      <c r="L111" s="347"/>
      <c r="M111" s="370"/>
      <c r="N111" s="167"/>
      <c r="O111" s="344"/>
      <c r="P111" s="347"/>
      <c r="Q111" s="350"/>
      <c r="R111" s="157">
        <v>3</v>
      </c>
      <c r="S111" s="158"/>
      <c r="T111" s="159" t="str">
        <f t="shared" si="170"/>
        <v/>
      </c>
      <c r="U111" s="162"/>
      <c r="V111" s="162"/>
      <c r="W111" s="163"/>
      <c r="X111" s="162"/>
      <c r="Y111" s="162"/>
      <c r="Z111" s="162"/>
      <c r="AA111" s="142" t="str">
        <f>IFERROR(IF(T111="Probabilidad",(AA110-(+AA110*W111)),IF(T111="Impacto",L111,"")),"")</f>
        <v/>
      </c>
      <c r="AB111" s="152" t="str">
        <f t="shared" si="173"/>
        <v/>
      </c>
      <c r="AC111" s="153" t="str">
        <f t="shared" si="174"/>
        <v/>
      </c>
      <c r="AD111" s="152" t="str">
        <f t="shared" si="175"/>
        <v/>
      </c>
      <c r="AE111" s="153" t="str">
        <f t="shared" si="176"/>
        <v/>
      </c>
      <c r="AF111" s="154" t="str">
        <f t="shared" si="177"/>
        <v/>
      </c>
      <c r="AG111" s="155"/>
      <c r="AH111" s="158"/>
      <c r="AI111" s="148"/>
      <c r="AJ111" s="149"/>
      <c r="AK111" s="149"/>
      <c r="AL111" s="158"/>
      <c r="AM111" s="221"/>
      <c r="AN111" s="221"/>
      <c r="AO111" s="218">
        <v>1</v>
      </c>
      <c r="AP111" s="95"/>
      <c r="AQ111" s="95"/>
      <c r="AR111" s="218">
        <v>1</v>
      </c>
      <c r="AS111" s="95"/>
      <c r="AT111" s="232" t="s">
        <v>629</v>
      </c>
      <c r="AU111" s="137" t="s">
        <v>630</v>
      </c>
      <c r="AV111" s="137" t="s">
        <v>630</v>
      </c>
      <c r="AW111" s="137" t="s">
        <v>630</v>
      </c>
      <c r="AX111" s="95"/>
    </row>
    <row r="112" spans="1:50" s="147" customFormat="1" ht="151.5" customHeight="1" x14ac:dyDescent="0.25">
      <c r="A112" s="341">
        <v>36</v>
      </c>
      <c r="B112" s="338" t="s">
        <v>317</v>
      </c>
      <c r="C112" s="360" t="s">
        <v>352</v>
      </c>
      <c r="D112" s="360" t="s">
        <v>411</v>
      </c>
      <c r="E112" s="354" t="s">
        <v>120</v>
      </c>
      <c r="F112" s="354" t="s">
        <v>467</v>
      </c>
      <c r="G112" s="354" t="s">
        <v>468</v>
      </c>
      <c r="H112" s="357" t="s">
        <v>412</v>
      </c>
      <c r="I112" s="354" t="s">
        <v>328</v>
      </c>
      <c r="J112" s="351">
        <v>35</v>
      </c>
      <c r="K112" s="342" t="str">
        <f>IF(J112&lt;=0,"",IF(J112&lt;=2,"Muy Baja",IF(J112&lt;=24,"Baja",IF(J112&lt;=500,"Media",IF(J112&lt;=5000,"Alta","Muy Alta")))))</f>
        <v>Media</v>
      </c>
      <c r="L112" s="345">
        <f>IF(K112="","",IF(K112="Muy Baja",0.2,IF(K112="Baja",0.4,IF(K112="Media",0.6,IF(K112="Alta",0.8,IF(K112="Muy Alta",1,))))))</f>
        <v>0.6</v>
      </c>
      <c r="M112" s="369" t="s">
        <v>491</v>
      </c>
      <c r="N112" s="161" t="str">
        <f>IF(NOT(ISERROR(MATCH(M112,'Tabla Impacto'!$B$221:$B$223,0))),'Tabla Impacto'!$F$223&amp;"Por favor no seleccionar los criterios de impacto(Afectación Económica o presupuestal y Pérdida Reputacional)",M112)</f>
        <v xml:space="preserve"> El riesgo afecta la imagen de la entidad internamente, de conocimiento general, nivel interno, de junta directiva y accionistas y/o de proveedores</v>
      </c>
      <c r="O112" s="342" t="str">
        <f>IF(OR(N112='Tabla Impacto'!$C$11,N112='Tabla Impacto'!$D$11),"Leve",IF(OR(N112='Tabla Impacto'!$C$12,N112='Tabla Impacto'!$D$12),"Menor",IF(OR(N112='Tabla Impacto'!$C$13,N112='Tabla Impacto'!$D$13),"Moderado",IF(OR(N112='Tabla Impacto'!$C$14,N112='Tabla Impacto'!$D$14),"Mayor",IF(OR(N112='Tabla Impacto'!$C$15,N112='Tabla Impacto'!$D$15),"Catastrófico","")))))</f>
        <v>Menor</v>
      </c>
      <c r="P112" s="345">
        <f>IF(O112="","",IF(O112="Leve",0.2,IF(O112="Menor",0.4,IF(O112="Moderado",0.6,IF(O112="Mayor",0.8,IF(O112="Catastrófico",1,))))))</f>
        <v>0.4</v>
      </c>
      <c r="Q112" s="348" t="str">
        <f>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Moderado</v>
      </c>
      <c r="R112" s="157">
        <v>1</v>
      </c>
      <c r="S112" s="158" t="s">
        <v>337</v>
      </c>
      <c r="T112" s="159" t="str">
        <f t="shared" ref="T112:T123" si="178">IF(OR(U112="Preventivo",U112="Detectivo"),"Probabilidad",IF(U112="Correctivo","Impacto",""))</f>
        <v>Probabilidad</v>
      </c>
      <c r="U112" s="162" t="s">
        <v>14</v>
      </c>
      <c r="V112" s="162" t="s">
        <v>9</v>
      </c>
      <c r="W112" s="163" t="str">
        <f t="shared" ref="W112:W122" si="179">IF(AND(U112="Preventivo",V112="Automático"),"50%",IF(AND(U112="Preventivo",V112="Manual"),"40%",IF(AND(U112="Detectivo",V112="Automático"),"40%",IF(AND(U112="Detectivo",V112="Manual"),"30%",IF(AND(U112="Correctivo",V112="Automático"),"35%",IF(AND(U112="Correctivo",V112="Manual"),"25%",""))))))</f>
        <v>40%</v>
      </c>
      <c r="X112" s="162" t="s">
        <v>19</v>
      </c>
      <c r="Y112" s="162" t="s">
        <v>22</v>
      </c>
      <c r="Z112" s="162" t="s">
        <v>110</v>
      </c>
      <c r="AA112" s="142">
        <f t="shared" ref="AA112:AA121" si="180">IFERROR(IF(T112="Probabilidad",(L112-(+L112*W112)),IF(T112="Impacto",L112,"")),"")</f>
        <v>0.36</v>
      </c>
      <c r="AB112" s="152" t="str">
        <f t="shared" ref="AB112:AB122" si="181">IFERROR(IF(AA112="","",IF(AA112&lt;=0.2,"Muy Baja",IF(AA112&lt;=0.4,"Baja",IF(AA112&lt;=0.6,"Media",IF(AA112&lt;=0.8,"Alta","Muy Alta"))))),"")</f>
        <v>Baja</v>
      </c>
      <c r="AC112" s="153">
        <f t="shared" ref="AC112:AC122" si="182">+AA112</f>
        <v>0.36</v>
      </c>
      <c r="AD112" s="152" t="str">
        <f t="shared" ref="AD112:AD122" si="183">IFERROR(IF(AE112="","",IF(AE112&lt;=0.2,"Leve",IF(AE112&lt;=0.4,"Menor",IF(AE112&lt;=0.6,"Moderado",IF(AE112&lt;=0.8,"Mayor","Catastrófico"))))),"")</f>
        <v>Menor</v>
      </c>
      <c r="AE112" s="153">
        <f t="shared" ref="AE112:AE122" si="184">IFERROR(IF(T112="Impacto",(P112-(+P112*W112)),IF(T112="Probabilidad",P112,"")),"")</f>
        <v>0.4</v>
      </c>
      <c r="AF112" s="154" t="str">
        <f t="shared" ref="AF112:AF122" si="185">IFERROR(IF(OR(AND(AB112="Muy Baja",AD112="Leve"),AND(AB112="Muy Baja",AD112="Menor"),AND(AB112="Baja",AD112="Leve")),"Bajo",IF(OR(AND(AB112="Muy baja",AD112="Moderado"),AND(AB112="Baja",AD112="Menor"),AND(AB112="Baja",AD112="Moderado"),AND(AB112="Media",AD112="Leve"),AND(AB112="Media",AD112="Menor"),AND(AB112="Media",AD112="Moderado"),AND(AB112="Alta",AD112="Leve"),AND(AB112="Alta",AD112="Menor")),"Moderado",IF(OR(AND(AB112="Muy Baja",AD112="Mayor"),AND(AB112="Baja",AD112="Mayor"),AND(AB112="Media",AD112="Mayor"),AND(AB112="Alta",AD112="Moderado"),AND(AB112="Alta",AD112="Mayor"),AND(AB112="Muy Alta",AD112="Leve"),AND(AB112="Muy Alta",AD112="Menor"),AND(AB112="Muy Alta",AD112="Moderado"),AND(AB112="Muy Alta",AD112="Mayor")),"Alto",IF(OR(AND(AB112="Muy Baja",AD112="Catastrófico"),AND(AB112="Baja",AD112="Catastrófico"),AND(AB112="Media",AD112="Catastrófico"),AND(AB112="Alta",AD112="Catastrófico"),AND(AB112="Muy Alta",AD112="Catastrófico")),"Extremo","")))),"")</f>
        <v>Moderado</v>
      </c>
      <c r="AG112" s="155" t="s">
        <v>122</v>
      </c>
      <c r="AH112" s="158" t="s">
        <v>513</v>
      </c>
      <c r="AI112" s="148" t="s">
        <v>260</v>
      </c>
      <c r="AJ112" s="149">
        <v>44563</v>
      </c>
      <c r="AK112" s="149" t="s">
        <v>373</v>
      </c>
      <c r="AL112" s="158" t="s">
        <v>413</v>
      </c>
      <c r="AM112" s="221" t="s">
        <v>805</v>
      </c>
      <c r="AN112" s="221" t="s">
        <v>726</v>
      </c>
      <c r="AO112" s="218">
        <v>1</v>
      </c>
      <c r="AP112" s="221" t="s">
        <v>727</v>
      </c>
      <c r="AQ112" s="221" t="s">
        <v>728</v>
      </c>
      <c r="AR112" s="218">
        <v>1</v>
      </c>
      <c r="AS112" s="95"/>
      <c r="AT112" s="232" t="s">
        <v>629</v>
      </c>
      <c r="AU112" s="137" t="s">
        <v>630</v>
      </c>
      <c r="AV112" s="137" t="s">
        <v>630</v>
      </c>
      <c r="AW112" s="137" t="s">
        <v>630</v>
      </c>
      <c r="AX112" s="95" t="s">
        <v>871</v>
      </c>
    </row>
    <row r="113" spans="1:50" s="147" customFormat="1" ht="151.5" customHeight="1" x14ac:dyDescent="0.25">
      <c r="A113" s="341"/>
      <c r="B113" s="339"/>
      <c r="C113" s="361"/>
      <c r="D113" s="379"/>
      <c r="E113" s="355"/>
      <c r="F113" s="355"/>
      <c r="G113" s="355"/>
      <c r="H113" s="358"/>
      <c r="I113" s="355"/>
      <c r="J113" s="352"/>
      <c r="K113" s="343"/>
      <c r="L113" s="346"/>
      <c r="M113" s="370"/>
      <c r="N113" s="167"/>
      <c r="O113" s="343"/>
      <c r="P113" s="346"/>
      <c r="Q113" s="349"/>
      <c r="R113" s="157">
        <v>2</v>
      </c>
      <c r="S113" s="158" t="s">
        <v>347</v>
      </c>
      <c r="T113" s="159" t="str">
        <f t="shared" si="178"/>
        <v>Probabilidad</v>
      </c>
      <c r="U113" s="162" t="s">
        <v>15</v>
      </c>
      <c r="V113" s="162" t="s">
        <v>9</v>
      </c>
      <c r="W113" s="163" t="str">
        <f t="shared" si="179"/>
        <v>30%</v>
      </c>
      <c r="X113" s="162" t="s">
        <v>19</v>
      </c>
      <c r="Y113" s="162" t="s">
        <v>22</v>
      </c>
      <c r="Z113" s="162" t="s">
        <v>110</v>
      </c>
      <c r="AA113" s="142">
        <f>IFERROR(IF(T113="Probabilidad",(AA112-(+AA112*W113)),IF(T113="Impacto",L113,"")),"")</f>
        <v>0.252</v>
      </c>
      <c r="AB113" s="152" t="str">
        <f t="shared" si="181"/>
        <v>Baja</v>
      </c>
      <c r="AC113" s="153">
        <f t="shared" si="182"/>
        <v>0.252</v>
      </c>
      <c r="AD113" s="152" t="str">
        <f t="shared" si="183"/>
        <v>Menor</v>
      </c>
      <c r="AE113" s="153">
        <v>0.4</v>
      </c>
      <c r="AF113" s="154" t="str">
        <f t="shared" si="185"/>
        <v>Moderado</v>
      </c>
      <c r="AG113" s="155" t="s">
        <v>122</v>
      </c>
      <c r="AH113" s="158" t="s">
        <v>513</v>
      </c>
      <c r="AI113" s="148" t="s">
        <v>260</v>
      </c>
      <c r="AJ113" s="149">
        <v>44563</v>
      </c>
      <c r="AK113" s="149" t="s">
        <v>373</v>
      </c>
      <c r="AL113" s="158" t="s">
        <v>413</v>
      </c>
      <c r="AM113" s="221" t="s">
        <v>729</v>
      </c>
      <c r="AN113" s="221" t="s">
        <v>730</v>
      </c>
      <c r="AO113" s="218">
        <v>1</v>
      </c>
      <c r="AP113" s="221" t="s">
        <v>845</v>
      </c>
      <c r="AQ113" s="221" t="s">
        <v>846</v>
      </c>
      <c r="AR113" s="218">
        <v>1</v>
      </c>
      <c r="AS113" s="95"/>
      <c r="AT113" s="232" t="s">
        <v>629</v>
      </c>
      <c r="AU113" s="137" t="s">
        <v>630</v>
      </c>
      <c r="AV113" s="137" t="s">
        <v>630</v>
      </c>
      <c r="AW113" s="137" t="s">
        <v>630</v>
      </c>
      <c r="AX113" s="95" t="s">
        <v>871</v>
      </c>
    </row>
    <row r="114" spans="1:50" s="147" customFormat="1" ht="151.5" hidden="1" customHeight="1" x14ac:dyDescent="0.25">
      <c r="A114" s="341"/>
      <c r="B114" s="340"/>
      <c r="C114" s="361"/>
      <c r="D114" s="379"/>
      <c r="E114" s="355"/>
      <c r="F114" s="355"/>
      <c r="G114" s="355"/>
      <c r="H114" s="358"/>
      <c r="I114" s="355"/>
      <c r="J114" s="352"/>
      <c r="K114" s="344"/>
      <c r="L114" s="347"/>
      <c r="M114" s="370"/>
      <c r="N114" s="167"/>
      <c r="O114" s="344"/>
      <c r="P114" s="347"/>
      <c r="Q114" s="350"/>
      <c r="R114" s="157">
        <v>3</v>
      </c>
      <c r="S114" s="158"/>
      <c r="T114" s="159" t="str">
        <f t="shared" si="178"/>
        <v/>
      </c>
      <c r="U114" s="162"/>
      <c r="V114" s="162"/>
      <c r="W114" s="163"/>
      <c r="X114" s="162"/>
      <c r="Y114" s="162"/>
      <c r="Z114" s="162"/>
      <c r="AA114" s="142" t="str">
        <f>IFERROR(IF(T114="Probabilidad",(AA113-(+AA113*W114)),IF(T114="Impacto",L114,"")),"")</f>
        <v/>
      </c>
      <c r="AB114" s="152" t="str">
        <f t="shared" si="181"/>
        <v/>
      </c>
      <c r="AC114" s="153" t="str">
        <f t="shared" si="182"/>
        <v/>
      </c>
      <c r="AD114" s="152" t="str">
        <f t="shared" si="183"/>
        <v/>
      </c>
      <c r="AE114" s="153" t="str">
        <f t="shared" si="184"/>
        <v/>
      </c>
      <c r="AF114" s="154" t="str">
        <f t="shared" si="185"/>
        <v/>
      </c>
      <c r="AG114" s="155"/>
      <c r="AH114" s="158"/>
      <c r="AI114" s="148"/>
      <c r="AJ114" s="149"/>
      <c r="AK114" s="149"/>
      <c r="AL114" s="158"/>
      <c r="AM114" s="95"/>
      <c r="AN114" s="95"/>
      <c r="AO114" s="218">
        <v>1</v>
      </c>
      <c r="AP114" s="95"/>
      <c r="AQ114" s="95"/>
      <c r="AR114" s="218">
        <v>1</v>
      </c>
      <c r="AS114" s="95"/>
      <c r="AT114" s="232" t="s">
        <v>629</v>
      </c>
      <c r="AU114" s="137" t="s">
        <v>630</v>
      </c>
      <c r="AV114" s="137" t="s">
        <v>630</v>
      </c>
      <c r="AW114" s="137" t="s">
        <v>630</v>
      </c>
      <c r="AX114" s="95"/>
    </row>
    <row r="115" spans="1:50" s="147" customFormat="1" ht="151.5" customHeight="1" x14ac:dyDescent="0.25">
      <c r="A115" s="341">
        <v>37</v>
      </c>
      <c r="B115" s="338" t="s">
        <v>317</v>
      </c>
      <c r="C115" s="360" t="s">
        <v>352</v>
      </c>
      <c r="D115" s="360" t="s">
        <v>411</v>
      </c>
      <c r="E115" s="354" t="s">
        <v>120</v>
      </c>
      <c r="F115" s="354" t="s">
        <v>469</v>
      </c>
      <c r="G115" s="354" t="s">
        <v>470</v>
      </c>
      <c r="H115" s="357" t="s">
        <v>338</v>
      </c>
      <c r="I115" s="354" t="s">
        <v>328</v>
      </c>
      <c r="J115" s="351">
        <v>12</v>
      </c>
      <c r="K115" s="342" t="str">
        <f>IF(J115&lt;=0,"",IF(J115&lt;=2,"Muy Baja",IF(J115&lt;=24,"Baja",IF(J115&lt;=500,"Media",IF(J115&lt;=5000,"Alta","Muy Alta")))))</f>
        <v>Baja</v>
      </c>
      <c r="L115" s="345">
        <f>IF(K115="","",IF(K115="Muy Baja",0.2,IF(K115="Baja",0.4,IF(K115="Media",0.6,IF(K115="Alta",0.8,IF(K115="Muy Alta",1,))))))</f>
        <v>0.4</v>
      </c>
      <c r="M115" s="369" t="s">
        <v>491</v>
      </c>
      <c r="N115" s="161" t="str">
        <f>IF(NOT(ISERROR(MATCH(M115,'Tabla Impacto'!$B$221:$B$223,0))),'Tabla Impacto'!$F$223&amp;"Por favor no seleccionar los criterios de impacto(Afectación Económica o presupuestal y Pérdida Reputacional)",M115)</f>
        <v xml:space="preserve"> El riesgo afecta la imagen de la entidad internamente, de conocimiento general, nivel interno, de junta directiva y accionistas y/o de proveedores</v>
      </c>
      <c r="O115" s="342" t="str">
        <f>IF(OR(N115='Tabla Impacto'!$C$11,N115='Tabla Impacto'!$D$11),"Leve",IF(OR(N115='Tabla Impacto'!$C$12,N115='Tabla Impacto'!$D$12),"Menor",IF(OR(N115='Tabla Impacto'!$C$13,N115='Tabla Impacto'!$D$13),"Moderado",IF(OR(N115='Tabla Impacto'!$C$14,N115='Tabla Impacto'!$D$14),"Mayor",IF(OR(N115='Tabla Impacto'!$C$15,N115='Tabla Impacto'!$D$15),"Catastrófico","")))))</f>
        <v>Menor</v>
      </c>
      <c r="P115" s="345">
        <f>IF(O115="","",IF(O115="Leve",0.2,IF(O115="Menor",0.4,IF(O115="Moderado",0.6,IF(O115="Mayor",0.8,IF(O115="Catastrófico",1,))))))</f>
        <v>0.4</v>
      </c>
      <c r="Q115" s="348" t="str">
        <f>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Moderado</v>
      </c>
      <c r="R115" s="157">
        <v>1</v>
      </c>
      <c r="S115" s="158" t="s">
        <v>514</v>
      </c>
      <c r="T115" s="159" t="str">
        <f t="shared" si="178"/>
        <v>Probabilidad</v>
      </c>
      <c r="U115" s="162" t="s">
        <v>14</v>
      </c>
      <c r="V115" s="162" t="s">
        <v>9</v>
      </c>
      <c r="W115" s="163" t="str">
        <f t="shared" si="179"/>
        <v>40%</v>
      </c>
      <c r="X115" s="162" t="s">
        <v>19</v>
      </c>
      <c r="Y115" s="162" t="s">
        <v>22</v>
      </c>
      <c r="Z115" s="162" t="s">
        <v>110</v>
      </c>
      <c r="AA115" s="142">
        <f t="shared" si="180"/>
        <v>0.24</v>
      </c>
      <c r="AB115" s="152" t="str">
        <f t="shared" si="181"/>
        <v>Baja</v>
      </c>
      <c r="AC115" s="153">
        <f t="shared" si="182"/>
        <v>0.24</v>
      </c>
      <c r="AD115" s="152" t="str">
        <f t="shared" si="183"/>
        <v>Menor</v>
      </c>
      <c r="AE115" s="153">
        <f t="shared" si="184"/>
        <v>0.4</v>
      </c>
      <c r="AF115" s="154" t="str">
        <f t="shared" si="185"/>
        <v>Moderado</v>
      </c>
      <c r="AG115" s="155" t="s">
        <v>122</v>
      </c>
      <c r="AH115" s="158" t="s">
        <v>515</v>
      </c>
      <c r="AI115" s="148" t="s">
        <v>203</v>
      </c>
      <c r="AJ115" s="149">
        <v>44568</v>
      </c>
      <c r="AK115" s="149" t="s">
        <v>373</v>
      </c>
      <c r="AL115" s="158" t="s">
        <v>414</v>
      </c>
      <c r="AM115" s="226" t="s">
        <v>731</v>
      </c>
      <c r="AN115" s="221" t="s">
        <v>730</v>
      </c>
      <c r="AO115" s="218">
        <v>1</v>
      </c>
      <c r="AP115" s="221" t="s">
        <v>732</v>
      </c>
      <c r="AQ115" s="221" t="s">
        <v>733</v>
      </c>
      <c r="AR115" s="218">
        <v>1</v>
      </c>
      <c r="AS115" s="221"/>
      <c r="AT115" s="232" t="s">
        <v>629</v>
      </c>
      <c r="AU115" s="137" t="s">
        <v>630</v>
      </c>
      <c r="AV115" s="137" t="s">
        <v>630</v>
      </c>
      <c r="AW115" s="137" t="s">
        <v>630</v>
      </c>
      <c r="AX115" s="95"/>
    </row>
    <row r="116" spans="1:50" s="147" customFormat="1" ht="151.5" customHeight="1" x14ac:dyDescent="0.25">
      <c r="A116" s="341"/>
      <c r="B116" s="339"/>
      <c r="C116" s="361"/>
      <c r="D116" s="379"/>
      <c r="E116" s="355"/>
      <c r="F116" s="355"/>
      <c r="G116" s="355"/>
      <c r="H116" s="358"/>
      <c r="I116" s="355"/>
      <c r="J116" s="352"/>
      <c r="K116" s="343"/>
      <c r="L116" s="346"/>
      <c r="M116" s="370"/>
      <c r="N116" s="167"/>
      <c r="O116" s="343"/>
      <c r="P116" s="346"/>
      <c r="Q116" s="349"/>
      <c r="R116" s="157">
        <v>2</v>
      </c>
      <c r="S116" s="158" t="s">
        <v>361</v>
      </c>
      <c r="T116" s="159" t="str">
        <f t="shared" si="178"/>
        <v>Probabilidad</v>
      </c>
      <c r="U116" s="162" t="s">
        <v>15</v>
      </c>
      <c r="V116" s="162" t="s">
        <v>9</v>
      </c>
      <c r="W116" s="163" t="str">
        <f t="shared" si="179"/>
        <v>30%</v>
      </c>
      <c r="X116" s="162" t="s">
        <v>19</v>
      </c>
      <c r="Y116" s="162" t="s">
        <v>22</v>
      </c>
      <c r="Z116" s="162" t="s">
        <v>110</v>
      </c>
      <c r="AA116" s="142">
        <f>IFERROR(IF(T116="Probabilidad",(AA115-(+AA115*W116)),IF(T116="Impacto",L116,"")),"")</f>
        <v>0.16799999999999998</v>
      </c>
      <c r="AB116" s="152" t="str">
        <f t="shared" si="181"/>
        <v>Muy Baja</v>
      </c>
      <c r="AC116" s="153">
        <f t="shared" si="182"/>
        <v>0.16799999999999998</v>
      </c>
      <c r="AD116" s="152" t="str">
        <f t="shared" si="183"/>
        <v>Menor</v>
      </c>
      <c r="AE116" s="153">
        <v>0.4</v>
      </c>
      <c r="AF116" s="154" t="str">
        <f t="shared" si="185"/>
        <v>Bajo</v>
      </c>
      <c r="AG116" s="155" t="s">
        <v>122</v>
      </c>
      <c r="AH116" s="158" t="s">
        <v>516</v>
      </c>
      <c r="AI116" s="148" t="s">
        <v>203</v>
      </c>
      <c r="AJ116" s="149">
        <v>44564</v>
      </c>
      <c r="AK116" s="149" t="s">
        <v>373</v>
      </c>
      <c r="AL116" s="158" t="s">
        <v>414</v>
      </c>
      <c r="AM116" s="221" t="s">
        <v>847</v>
      </c>
      <c r="AN116" s="221" t="s">
        <v>734</v>
      </c>
      <c r="AO116" s="218">
        <v>1</v>
      </c>
      <c r="AP116" s="221" t="s">
        <v>848</v>
      </c>
      <c r="AQ116" s="221" t="s">
        <v>849</v>
      </c>
      <c r="AR116" s="218">
        <v>0.8</v>
      </c>
      <c r="AS116" s="221"/>
      <c r="AT116" s="232" t="s">
        <v>629</v>
      </c>
      <c r="AU116" s="137" t="s">
        <v>630</v>
      </c>
      <c r="AV116" s="137" t="s">
        <v>630</v>
      </c>
      <c r="AW116" s="137" t="s">
        <v>630</v>
      </c>
      <c r="AX116" s="95"/>
    </row>
    <row r="117" spans="1:50" s="147" customFormat="1" ht="151.5" hidden="1" customHeight="1" x14ac:dyDescent="0.25">
      <c r="A117" s="341"/>
      <c r="B117" s="340"/>
      <c r="C117" s="361"/>
      <c r="D117" s="379"/>
      <c r="E117" s="355"/>
      <c r="F117" s="355"/>
      <c r="G117" s="355"/>
      <c r="H117" s="358"/>
      <c r="I117" s="355"/>
      <c r="J117" s="352"/>
      <c r="K117" s="344"/>
      <c r="L117" s="347"/>
      <c r="M117" s="370"/>
      <c r="N117" s="167"/>
      <c r="O117" s="344"/>
      <c r="P117" s="347"/>
      <c r="Q117" s="350"/>
      <c r="R117" s="157">
        <v>3</v>
      </c>
      <c r="S117" s="158"/>
      <c r="T117" s="159" t="str">
        <f t="shared" si="178"/>
        <v/>
      </c>
      <c r="U117" s="162"/>
      <c r="V117" s="162"/>
      <c r="W117" s="163"/>
      <c r="X117" s="162"/>
      <c r="Y117" s="162"/>
      <c r="Z117" s="162"/>
      <c r="AA117" s="142" t="str">
        <f>IFERROR(IF(T117="Probabilidad",(AA116-(+AA116*W117)),IF(T117="Impacto",L117,"")),"")</f>
        <v/>
      </c>
      <c r="AB117" s="152" t="str">
        <f t="shared" si="181"/>
        <v/>
      </c>
      <c r="AC117" s="153" t="str">
        <f t="shared" si="182"/>
        <v/>
      </c>
      <c r="AD117" s="152" t="str">
        <f t="shared" si="183"/>
        <v/>
      </c>
      <c r="AE117" s="153" t="str">
        <f t="shared" si="184"/>
        <v/>
      </c>
      <c r="AF117" s="154" t="str">
        <f t="shared" si="185"/>
        <v/>
      </c>
      <c r="AG117" s="155"/>
      <c r="AH117" s="158"/>
      <c r="AI117" s="148"/>
      <c r="AJ117" s="149"/>
      <c r="AK117" s="149"/>
      <c r="AL117" s="158"/>
      <c r="AM117" s="95"/>
      <c r="AN117" s="221"/>
      <c r="AO117" s="218">
        <v>1</v>
      </c>
      <c r="AP117" s="221"/>
      <c r="AQ117" s="221"/>
      <c r="AR117" s="215"/>
      <c r="AS117" s="221"/>
      <c r="AT117" s="232" t="s">
        <v>629</v>
      </c>
      <c r="AU117" s="137" t="s">
        <v>630</v>
      </c>
      <c r="AV117" s="137" t="s">
        <v>630</v>
      </c>
      <c r="AW117" s="137" t="s">
        <v>630</v>
      </c>
      <c r="AX117" s="95"/>
    </row>
    <row r="118" spans="1:50" s="147" customFormat="1" ht="151.5" customHeight="1" x14ac:dyDescent="0.25">
      <c r="A118" s="341">
        <v>38</v>
      </c>
      <c r="B118" s="374" t="s">
        <v>317</v>
      </c>
      <c r="C118" s="360" t="s">
        <v>352</v>
      </c>
      <c r="D118" s="360" t="s">
        <v>415</v>
      </c>
      <c r="E118" s="354" t="s">
        <v>120</v>
      </c>
      <c r="F118" s="354" t="s">
        <v>471</v>
      </c>
      <c r="G118" s="354" t="s">
        <v>547</v>
      </c>
      <c r="H118" s="357" t="s">
        <v>558</v>
      </c>
      <c r="I118" s="354" t="s">
        <v>115</v>
      </c>
      <c r="J118" s="351">
        <v>3000</v>
      </c>
      <c r="K118" s="342" t="str">
        <f>IF(J118&lt;=0,"",IF(J118&lt;=2,"Muy Baja",IF(J118&lt;=24,"Baja",IF(J118&lt;=500,"Media",IF(J118&lt;=5000,"Alta","Muy Alta")))))</f>
        <v>Alta</v>
      </c>
      <c r="L118" s="345">
        <f>IF(K118="","",IF(K118="Muy Baja",0.2,IF(K118="Baja",0.4,IF(K118="Media",0.6,IF(K118="Alta",0.8,IF(K118="Muy Alta",1,))))))</f>
        <v>0.8</v>
      </c>
      <c r="M118" s="369" t="s">
        <v>485</v>
      </c>
      <c r="N118" s="161" t="str">
        <f>IF(NOT(ISERROR(MATCH(M118,'Tabla Impacto'!$B$221:$B$223,0))),'Tabla Impacto'!$F$223&amp;"Por favor no seleccionar los criterios de impacto(Afectación Económica o presupuestal y Pérdida Reputacional)",M118)</f>
        <v xml:space="preserve"> Entre 50 y 100 SMLMV </v>
      </c>
      <c r="O118" s="342" t="str">
        <f>IF(OR(N118='Tabla Impacto'!$C$11,N118='Tabla Impacto'!$D$11),"Leve",IF(OR(N118='Tabla Impacto'!$C$12,N118='Tabla Impacto'!$D$12),"Menor",IF(OR(N118='Tabla Impacto'!$C$13,N118='Tabla Impacto'!$D$13),"Moderado",IF(OR(N118='Tabla Impacto'!$C$14,N118='Tabla Impacto'!$D$14),"Mayor",IF(OR(N118='Tabla Impacto'!$C$15,N118='Tabla Impacto'!$D$15),"Catastrófico","")))))</f>
        <v>Moderado</v>
      </c>
      <c r="P118" s="345">
        <f>IF(O118="","",IF(O118="Leve",0.2,IF(O118="Menor",0.4,IF(O118="Moderado",0.6,IF(O118="Mayor",0.8,IF(O118="Catastrófico",1,))))))</f>
        <v>0.6</v>
      </c>
      <c r="Q118" s="348" t="str">
        <f>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Alto</v>
      </c>
      <c r="R118" s="157">
        <v>1</v>
      </c>
      <c r="S118" s="158" t="s">
        <v>362</v>
      </c>
      <c r="T118" s="159" t="str">
        <f t="shared" si="178"/>
        <v>Probabilidad</v>
      </c>
      <c r="U118" s="162" t="s">
        <v>14</v>
      </c>
      <c r="V118" s="162" t="s">
        <v>9</v>
      </c>
      <c r="W118" s="163" t="str">
        <f t="shared" si="179"/>
        <v>40%</v>
      </c>
      <c r="X118" s="162" t="s">
        <v>19</v>
      </c>
      <c r="Y118" s="162" t="s">
        <v>22</v>
      </c>
      <c r="Z118" s="162" t="s">
        <v>110</v>
      </c>
      <c r="AA118" s="142">
        <f t="shared" si="180"/>
        <v>0.48</v>
      </c>
      <c r="AB118" s="152" t="str">
        <f t="shared" si="181"/>
        <v>Media</v>
      </c>
      <c r="AC118" s="153">
        <f t="shared" si="182"/>
        <v>0.48</v>
      </c>
      <c r="AD118" s="152" t="str">
        <f t="shared" si="183"/>
        <v>Moderado</v>
      </c>
      <c r="AE118" s="153">
        <f t="shared" si="184"/>
        <v>0.6</v>
      </c>
      <c r="AF118" s="154" t="str">
        <f t="shared" si="185"/>
        <v>Moderado</v>
      </c>
      <c r="AG118" s="155" t="s">
        <v>122</v>
      </c>
      <c r="AH118" s="158" t="s">
        <v>517</v>
      </c>
      <c r="AI118" s="148" t="s">
        <v>203</v>
      </c>
      <c r="AJ118" s="149">
        <v>44564</v>
      </c>
      <c r="AK118" s="149" t="s">
        <v>373</v>
      </c>
      <c r="AL118" s="158" t="s">
        <v>413</v>
      </c>
      <c r="AM118" s="228" t="s">
        <v>735</v>
      </c>
      <c r="AN118" s="221" t="s">
        <v>736</v>
      </c>
      <c r="AO118" s="218">
        <v>1</v>
      </c>
      <c r="AP118" s="221" t="s">
        <v>737</v>
      </c>
      <c r="AQ118" s="221" t="s">
        <v>738</v>
      </c>
      <c r="AR118" s="218">
        <v>0.8</v>
      </c>
      <c r="AS118" s="221"/>
      <c r="AT118" s="232" t="s">
        <v>629</v>
      </c>
      <c r="AU118" s="137" t="s">
        <v>630</v>
      </c>
      <c r="AV118" s="137" t="s">
        <v>630</v>
      </c>
      <c r="AW118" s="137" t="s">
        <v>630</v>
      </c>
      <c r="AX118" s="95"/>
    </row>
    <row r="119" spans="1:50" s="147" customFormat="1" ht="151.5" customHeight="1" x14ac:dyDescent="0.25">
      <c r="A119" s="341"/>
      <c r="B119" s="375"/>
      <c r="C119" s="361"/>
      <c r="D119" s="379"/>
      <c r="E119" s="355"/>
      <c r="F119" s="355"/>
      <c r="G119" s="355"/>
      <c r="H119" s="358"/>
      <c r="I119" s="355"/>
      <c r="J119" s="352"/>
      <c r="K119" s="343"/>
      <c r="L119" s="346"/>
      <c r="M119" s="370"/>
      <c r="N119" s="167"/>
      <c r="O119" s="343"/>
      <c r="P119" s="346"/>
      <c r="Q119" s="349"/>
      <c r="R119" s="157">
        <v>2</v>
      </c>
      <c r="S119" s="158" t="s">
        <v>416</v>
      </c>
      <c r="T119" s="159" t="str">
        <f t="shared" si="178"/>
        <v>Probabilidad</v>
      </c>
      <c r="U119" s="162" t="s">
        <v>14</v>
      </c>
      <c r="V119" s="162" t="s">
        <v>9</v>
      </c>
      <c r="W119" s="163" t="str">
        <f t="shared" si="179"/>
        <v>40%</v>
      </c>
      <c r="X119" s="162" t="s">
        <v>19</v>
      </c>
      <c r="Y119" s="162" t="s">
        <v>22</v>
      </c>
      <c r="Z119" s="162" t="s">
        <v>110</v>
      </c>
      <c r="AA119" s="142">
        <f>IFERROR(IF(T119="Probabilidad",(AA118-(+AA118*W119)),IF(T119="Impacto",L119,"")),"")</f>
        <v>0.28799999999999998</v>
      </c>
      <c r="AB119" s="152" t="str">
        <f t="shared" si="181"/>
        <v>Baja</v>
      </c>
      <c r="AC119" s="153">
        <f t="shared" si="182"/>
        <v>0.28799999999999998</v>
      </c>
      <c r="AD119" s="152" t="str">
        <f t="shared" si="183"/>
        <v>Menor</v>
      </c>
      <c r="AE119" s="153">
        <v>0.4</v>
      </c>
      <c r="AF119" s="154" t="str">
        <f t="shared" si="185"/>
        <v>Moderado</v>
      </c>
      <c r="AG119" s="155" t="s">
        <v>122</v>
      </c>
      <c r="AH119" s="158" t="s">
        <v>517</v>
      </c>
      <c r="AI119" s="148" t="s">
        <v>203</v>
      </c>
      <c r="AJ119" s="149">
        <v>44564</v>
      </c>
      <c r="AK119" s="149" t="s">
        <v>373</v>
      </c>
      <c r="AL119" s="158" t="s">
        <v>413</v>
      </c>
      <c r="AM119" s="95" t="s">
        <v>739</v>
      </c>
      <c r="AN119" s="95" t="s">
        <v>736</v>
      </c>
      <c r="AO119" s="218">
        <v>1</v>
      </c>
      <c r="AP119" s="221" t="s">
        <v>737</v>
      </c>
      <c r="AQ119" s="221" t="s">
        <v>738</v>
      </c>
      <c r="AR119" s="218">
        <v>0.8</v>
      </c>
      <c r="AS119" s="221"/>
      <c r="AT119" s="232" t="s">
        <v>629</v>
      </c>
      <c r="AU119" s="137" t="s">
        <v>630</v>
      </c>
      <c r="AV119" s="137" t="s">
        <v>630</v>
      </c>
      <c r="AW119" s="137" t="s">
        <v>630</v>
      </c>
      <c r="AX119" s="95"/>
    </row>
    <row r="120" spans="1:50" s="147" customFormat="1" ht="151.5" customHeight="1" x14ac:dyDescent="0.25">
      <c r="A120" s="341"/>
      <c r="B120" s="376"/>
      <c r="C120" s="361"/>
      <c r="D120" s="379"/>
      <c r="E120" s="355"/>
      <c r="F120" s="355"/>
      <c r="G120" s="355"/>
      <c r="H120" s="358"/>
      <c r="I120" s="355"/>
      <c r="J120" s="352"/>
      <c r="K120" s="344"/>
      <c r="L120" s="347"/>
      <c r="M120" s="370"/>
      <c r="N120" s="167"/>
      <c r="O120" s="344"/>
      <c r="P120" s="347"/>
      <c r="Q120" s="350"/>
      <c r="R120" s="157">
        <v>3</v>
      </c>
      <c r="S120" s="158" t="s">
        <v>363</v>
      </c>
      <c r="T120" s="159" t="str">
        <f t="shared" si="178"/>
        <v>Probabilidad</v>
      </c>
      <c r="U120" s="162" t="s">
        <v>14</v>
      </c>
      <c r="V120" s="162" t="s">
        <v>9</v>
      </c>
      <c r="W120" s="163" t="str">
        <f t="shared" si="179"/>
        <v>40%</v>
      </c>
      <c r="X120" s="162" t="s">
        <v>19</v>
      </c>
      <c r="Y120" s="162" t="s">
        <v>22</v>
      </c>
      <c r="Z120" s="162" t="s">
        <v>110</v>
      </c>
      <c r="AA120" s="142">
        <f>IFERROR(IF(T120="Probabilidad",(AA119-(+A119*W120)),IF(T120="Impacto",L120,"")),"")</f>
        <v>0.28799999999999998</v>
      </c>
      <c r="AB120" s="152" t="str">
        <f t="shared" si="181"/>
        <v>Baja</v>
      </c>
      <c r="AC120" s="153">
        <f t="shared" si="182"/>
        <v>0.28799999999999998</v>
      </c>
      <c r="AD120" s="152" t="str">
        <f t="shared" si="183"/>
        <v>Menor</v>
      </c>
      <c r="AE120" s="153">
        <v>0.4</v>
      </c>
      <c r="AF120" s="154" t="str">
        <f t="shared" si="185"/>
        <v>Moderado</v>
      </c>
      <c r="AG120" s="155" t="s">
        <v>122</v>
      </c>
      <c r="AH120" s="158" t="s">
        <v>517</v>
      </c>
      <c r="AI120" s="148" t="s">
        <v>203</v>
      </c>
      <c r="AJ120" s="149">
        <v>44564</v>
      </c>
      <c r="AK120" s="149" t="s">
        <v>373</v>
      </c>
      <c r="AL120" s="158" t="s">
        <v>413</v>
      </c>
      <c r="AM120" s="95" t="s">
        <v>739</v>
      </c>
      <c r="AN120" s="95" t="s">
        <v>736</v>
      </c>
      <c r="AO120" s="218">
        <v>1</v>
      </c>
      <c r="AP120" s="221" t="s">
        <v>737</v>
      </c>
      <c r="AQ120" s="221" t="s">
        <v>738</v>
      </c>
      <c r="AR120" s="218">
        <v>0.8</v>
      </c>
      <c r="AS120" s="221"/>
      <c r="AT120" s="232" t="s">
        <v>629</v>
      </c>
      <c r="AU120" s="137" t="s">
        <v>630</v>
      </c>
      <c r="AV120" s="137" t="s">
        <v>630</v>
      </c>
      <c r="AW120" s="137" t="s">
        <v>630</v>
      </c>
      <c r="AX120" s="95"/>
    </row>
    <row r="121" spans="1:50" s="147" customFormat="1" ht="151.5" customHeight="1" x14ac:dyDescent="0.25">
      <c r="A121" s="341">
        <v>39</v>
      </c>
      <c r="B121" s="413" t="s">
        <v>417</v>
      </c>
      <c r="C121" s="378" t="s">
        <v>418</v>
      </c>
      <c r="D121" s="360" t="s">
        <v>419</v>
      </c>
      <c r="E121" s="354" t="s">
        <v>120</v>
      </c>
      <c r="F121" s="377" t="s">
        <v>498</v>
      </c>
      <c r="G121" s="377" t="s">
        <v>420</v>
      </c>
      <c r="H121" s="357" t="s">
        <v>499</v>
      </c>
      <c r="I121" s="354" t="s">
        <v>328</v>
      </c>
      <c r="J121" s="351">
        <v>49</v>
      </c>
      <c r="K121" s="342" t="str">
        <f>IF(J121&lt;=0,"",IF(J121&lt;=2,"Muy Baja",IF(J121&lt;=24,"Baja",IF(J121&lt;=500,"Media",IF(J121&lt;=5000,"Alta","Muy Alta")))))</f>
        <v>Media</v>
      </c>
      <c r="L121" s="345">
        <f>IF(K121="","",IF(K121="Muy Baja",0.2,IF(K121="Baja",0.4,IF(K121="Media",0.6,IF(K121="Alta",0.8,IF(K121="Muy Alta",1,))))))</f>
        <v>0.6</v>
      </c>
      <c r="M121" s="369" t="s">
        <v>486</v>
      </c>
      <c r="N121" s="161" t="str">
        <f>IF(NOT(ISERROR(MATCH(M121,'Tabla Impacto'!$B$221:$B$223,0))),'Tabla Impacto'!$F$223&amp;"Por favor no seleccionar los criterios de impacto(Afectación Económica o presupuestal y Pérdida Reputacional)",M121)</f>
        <v xml:space="preserve"> El riesgo afecta la imagen de la entidad con algunos usuarios de relevancia frente al logro de los objetivos</v>
      </c>
      <c r="O121" s="342" t="str">
        <f>IF(OR(N121='Tabla Impacto'!$C$11,N121='Tabla Impacto'!$D$11),"Leve",IF(OR(N121='Tabla Impacto'!$C$12,N121='Tabla Impacto'!$D$12),"Menor",IF(OR(N121='Tabla Impacto'!$C$13,N121='Tabla Impacto'!$D$13),"Moderado",IF(OR(N121='Tabla Impacto'!$C$14,N121='Tabla Impacto'!$D$14),"Mayor",IF(OR(N121='Tabla Impacto'!$C$15,N121='Tabla Impacto'!$D$15),"Catastrófico","")))))</f>
        <v>Moderado</v>
      </c>
      <c r="P121" s="345">
        <f>IF(O121="","",IF(O121="Leve",0.2,IF(O121="Menor",0.4,IF(O121="Moderado",0.6,IF(O121="Mayor",0.8,IF(O121="Catastrófico",1,))))))</f>
        <v>0.6</v>
      </c>
      <c r="Q121" s="348" t="str">
        <f>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Moderado</v>
      </c>
      <c r="R121" s="157">
        <v>1</v>
      </c>
      <c r="S121" s="169" t="s">
        <v>500</v>
      </c>
      <c r="T121" s="159" t="str">
        <f t="shared" si="178"/>
        <v>Probabilidad</v>
      </c>
      <c r="U121" s="162" t="s">
        <v>14</v>
      </c>
      <c r="V121" s="162" t="s">
        <v>9</v>
      </c>
      <c r="W121" s="163" t="str">
        <f t="shared" si="179"/>
        <v>40%</v>
      </c>
      <c r="X121" s="162" t="s">
        <v>19</v>
      </c>
      <c r="Y121" s="162" t="s">
        <v>22</v>
      </c>
      <c r="Z121" s="162" t="s">
        <v>110</v>
      </c>
      <c r="AA121" s="142">
        <f t="shared" si="180"/>
        <v>0.36</v>
      </c>
      <c r="AB121" s="152" t="str">
        <f t="shared" si="181"/>
        <v>Baja</v>
      </c>
      <c r="AC121" s="153">
        <f t="shared" si="182"/>
        <v>0.36</v>
      </c>
      <c r="AD121" s="152" t="str">
        <f t="shared" si="183"/>
        <v>Moderado</v>
      </c>
      <c r="AE121" s="153">
        <f t="shared" si="184"/>
        <v>0.6</v>
      </c>
      <c r="AF121" s="154" t="str">
        <f t="shared" si="185"/>
        <v>Moderado</v>
      </c>
      <c r="AG121" s="155" t="s">
        <v>122</v>
      </c>
      <c r="AH121" s="170" t="s">
        <v>422</v>
      </c>
      <c r="AI121" s="150" t="s">
        <v>421</v>
      </c>
      <c r="AJ121" s="149" t="s">
        <v>196</v>
      </c>
      <c r="AK121" s="149" t="s">
        <v>423</v>
      </c>
      <c r="AL121" s="156" t="s">
        <v>552</v>
      </c>
      <c r="AM121" s="95" t="s">
        <v>740</v>
      </c>
      <c r="AN121" s="95" t="s">
        <v>741</v>
      </c>
      <c r="AO121" s="218">
        <v>1</v>
      </c>
      <c r="AP121" s="95" t="s">
        <v>742</v>
      </c>
      <c r="AQ121" s="95" t="s">
        <v>741</v>
      </c>
      <c r="AR121" s="218">
        <v>1</v>
      </c>
      <c r="AS121" s="95"/>
      <c r="AT121" s="232" t="s">
        <v>629</v>
      </c>
      <c r="AU121" s="137" t="s">
        <v>630</v>
      </c>
      <c r="AV121" s="137" t="s">
        <v>630</v>
      </c>
      <c r="AW121" s="137" t="s">
        <v>630</v>
      </c>
      <c r="AX121" s="95"/>
    </row>
    <row r="122" spans="1:50" s="147" customFormat="1" ht="151.5" customHeight="1" x14ac:dyDescent="0.25">
      <c r="A122" s="341"/>
      <c r="B122" s="414"/>
      <c r="C122" s="379"/>
      <c r="D122" s="379"/>
      <c r="E122" s="355"/>
      <c r="F122" s="355"/>
      <c r="G122" s="355"/>
      <c r="H122" s="358"/>
      <c r="I122" s="355"/>
      <c r="J122" s="352"/>
      <c r="K122" s="343"/>
      <c r="L122" s="346"/>
      <c r="M122" s="370"/>
      <c r="N122" s="167"/>
      <c r="O122" s="343"/>
      <c r="P122" s="346"/>
      <c r="Q122" s="349"/>
      <c r="R122" s="157">
        <v>2</v>
      </c>
      <c r="S122" s="171" t="s">
        <v>526</v>
      </c>
      <c r="T122" s="159" t="str">
        <f t="shared" si="178"/>
        <v>Probabilidad</v>
      </c>
      <c r="U122" s="162" t="s">
        <v>15</v>
      </c>
      <c r="V122" s="162" t="s">
        <v>9</v>
      </c>
      <c r="W122" s="163" t="str">
        <f t="shared" si="179"/>
        <v>30%</v>
      </c>
      <c r="X122" s="162" t="s">
        <v>19</v>
      </c>
      <c r="Y122" s="162" t="s">
        <v>23</v>
      </c>
      <c r="Z122" s="162" t="s">
        <v>110</v>
      </c>
      <c r="AA122" s="142">
        <f>IFERROR(IF(T122="Probabilidad",(AA121-(+AA121*W122)),IF(T122="Impacto",L122,"")),"")</f>
        <v>0.252</v>
      </c>
      <c r="AB122" s="152" t="str">
        <f t="shared" si="181"/>
        <v>Baja</v>
      </c>
      <c r="AC122" s="153">
        <f t="shared" si="182"/>
        <v>0.252</v>
      </c>
      <c r="AD122" s="152" t="str">
        <f t="shared" si="183"/>
        <v>Leve</v>
      </c>
      <c r="AE122" s="153">
        <f t="shared" si="184"/>
        <v>0</v>
      </c>
      <c r="AF122" s="154" t="str">
        <f t="shared" si="185"/>
        <v>Bajo</v>
      </c>
      <c r="AG122" s="155" t="s">
        <v>122</v>
      </c>
      <c r="AH122" s="200" t="s">
        <v>501</v>
      </c>
      <c r="AI122" s="172" t="s">
        <v>203</v>
      </c>
      <c r="AJ122" s="149" t="s">
        <v>196</v>
      </c>
      <c r="AK122" s="149" t="s">
        <v>196</v>
      </c>
      <c r="AL122" s="170" t="s">
        <v>424</v>
      </c>
      <c r="AM122" s="95" t="s">
        <v>743</v>
      </c>
      <c r="AN122" s="237" t="s">
        <v>744</v>
      </c>
      <c r="AO122" s="239">
        <v>1</v>
      </c>
      <c r="AP122" s="237" t="s">
        <v>745</v>
      </c>
      <c r="AQ122" s="237"/>
      <c r="AR122" s="239">
        <v>0.66</v>
      </c>
      <c r="AS122" s="237"/>
      <c r="AT122" s="241" t="s">
        <v>629</v>
      </c>
      <c r="AU122" s="235" t="s">
        <v>630</v>
      </c>
      <c r="AV122" s="235" t="s">
        <v>630</v>
      </c>
      <c r="AW122" s="235" t="s">
        <v>630</v>
      </c>
      <c r="AX122" s="237" t="s">
        <v>850</v>
      </c>
    </row>
    <row r="123" spans="1:50" s="147" customFormat="1" ht="151.5" hidden="1" customHeight="1" x14ac:dyDescent="0.25">
      <c r="A123" s="341"/>
      <c r="B123" s="415"/>
      <c r="C123" s="379"/>
      <c r="D123" s="379"/>
      <c r="E123" s="355"/>
      <c r="F123" s="355"/>
      <c r="G123" s="355"/>
      <c r="H123" s="358"/>
      <c r="I123" s="355"/>
      <c r="J123" s="352"/>
      <c r="K123" s="344"/>
      <c r="L123" s="347"/>
      <c r="M123" s="370"/>
      <c r="N123" s="167"/>
      <c r="O123" s="344"/>
      <c r="P123" s="347"/>
      <c r="Q123" s="350"/>
      <c r="R123" s="157">
        <v>3</v>
      </c>
      <c r="S123" s="158"/>
      <c r="T123" s="159" t="str">
        <f t="shared" si="178"/>
        <v/>
      </c>
      <c r="U123" s="162"/>
      <c r="V123" s="162"/>
      <c r="W123" s="163"/>
      <c r="X123" s="162"/>
      <c r="Y123" s="162"/>
      <c r="Z123" s="162"/>
      <c r="AA123" s="142"/>
      <c r="AB123" s="152"/>
      <c r="AC123" s="153"/>
      <c r="AD123" s="152"/>
      <c r="AE123" s="153"/>
      <c r="AF123" s="154"/>
      <c r="AG123" s="155"/>
      <c r="AH123" s="158"/>
      <c r="AI123" s="148"/>
      <c r="AJ123" s="149"/>
      <c r="AK123" s="149"/>
      <c r="AL123" s="158"/>
      <c r="AM123" s="95"/>
      <c r="AN123" s="95"/>
      <c r="AO123" s="215"/>
      <c r="AP123" s="95"/>
      <c r="AQ123" s="95"/>
      <c r="AR123" s="137"/>
      <c r="AS123" s="95"/>
      <c r="AT123" s="232" t="s">
        <v>629</v>
      </c>
      <c r="AU123" s="137" t="s">
        <v>630</v>
      </c>
      <c r="AV123" s="137" t="s">
        <v>630</v>
      </c>
      <c r="AW123" s="137" t="s">
        <v>630</v>
      </c>
      <c r="AX123" s="95"/>
    </row>
    <row r="124" spans="1:50" s="147" customFormat="1" ht="151.5" customHeight="1" x14ac:dyDescent="0.25">
      <c r="A124" s="341">
        <v>40</v>
      </c>
      <c r="B124" s="338" t="s">
        <v>417</v>
      </c>
      <c r="C124" s="378" t="s">
        <v>418</v>
      </c>
      <c r="D124" s="360" t="s">
        <v>419</v>
      </c>
      <c r="E124" s="354" t="s">
        <v>120</v>
      </c>
      <c r="F124" s="377" t="s">
        <v>502</v>
      </c>
      <c r="G124" s="377" t="s">
        <v>503</v>
      </c>
      <c r="H124" s="357" t="s">
        <v>504</v>
      </c>
      <c r="I124" s="354" t="s">
        <v>328</v>
      </c>
      <c r="J124" s="351">
        <v>60</v>
      </c>
      <c r="K124" s="342" t="str">
        <f>IF(J124&lt;=0,"",IF(J124&lt;=2,"Muy Baja",IF(J124&lt;=24,"Baja",IF(J124&lt;=500,"Media",IF(J124&lt;=5000,"Alta","Muy Alta")))))</f>
        <v>Media</v>
      </c>
      <c r="L124" s="345">
        <f>IF(K124="","",IF(K124="Muy Baja",0.2,IF(K124="Baja",0.4,IF(K124="Media",0.6,IF(K124="Alta",0.8,IF(K124="Muy Alta",1,))))))</f>
        <v>0.6</v>
      </c>
      <c r="M124" s="369" t="s">
        <v>486</v>
      </c>
      <c r="N124" s="161" t="str">
        <f>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342" t="str">
        <f>IF(OR(N124='Tabla Impacto'!$C$11,N124='Tabla Impacto'!$D$11),"Leve",IF(OR(N124='Tabla Impacto'!$C$12,N124='Tabla Impacto'!$D$12),"Menor",IF(OR(N124='Tabla Impacto'!$C$13,N124='Tabla Impacto'!$D$13),"Moderado",IF(OR(N124='Tabla Impacto'!$C$14,N124='Tabla Impacto'!$D$14),"Mayor",IF(OR(N124='Tabla Impacto'!$C$15,N124='Tabla Impacto'!$D$15),"Catastrófico","")))))</f>
        <v>Moderado</v>
      </c>
      <c r="P124" s="345">
        <f>IF(O124="","",IF(O124="Leve",0.2,IF(O124="Menor",0.4,IF(O124="Moderado",0.6,IF(O124="Mayor",0.8,IF(O124="Catastrófico",1,))))))</f>
        <v>0.6</v>
      </c>
      <c r="Q124" s="348" t="str">
        <f>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57">
        <v>1</v>
      </c>
      <c r="S124" s="158" t="s">
        <v>512</v>
      </c>
      <c r="T124" s="159" t="str">
        <f t="shared" ref="T124:T153" si="186">IF(OR(U124="Preventivo",U124="Detectivo"),"Probabilidad",IF(U124="Correctivo","Impacto",""))</f>
        <v>Probabilidad</v>
      </c>
      <c r="U124" s="162" t="s">
        <v>15</v>
      </c>
      <c r="V124" s="162" t="s">
        <v>9</v>
      </c>
      <c r="W124" s="163" t="str">
        <f t="shared" ref="W124:W153" si="187">IF(AND(U124="Preventivo",V124="Automático"),"50%",IF(AND(U124="Preventivo",V124="Manual"),"40%",IF(AND(U124="Detectivo",V124="Automático"),"40%",IF(AND(U124="Detectivo",V124="Manual"),"30%",IF(AND(U124="Correctivo",V124="Automático"),"35%",IF(AND(U124="Correctivo",V124="Manual"),"25%",""))))))</f>
        <v>30%</v>
      </c>
      <c r="X124" s="162" t="s">
        <v>20</v>
      </c>
      <c r="Y124" s="162" t="s">
        <v>23</v>
      </c>
      <c r="Z124" s="162" t="s">
        <v>111</v>
      </c>
      <c r="AA124" s="142">
        <f t="shared" ref="AA124:AA153" si="188">IFERROR(IF(T124="Probabilidad",(L124-(+L124*W124)),IF(T124="Impacto",L124,"")),"")</f>
        <v>0.42</v>
      </c>
      <c r="AB124" s="152" t="str">
        <f t="shared" ref="AB124:AB153" si="189">IFERROR(IF(AA124="","",IF(AA124&lt;=0.2,"Muy Baja",IF(AA124&lt;=0.4,"Baja",IF(AA124&lt;=0.6,"Media",IF(AA124&lt;=0.8,"Alta","Muy Alta"))))),"")</f>
        <v>Media</v>
      </c>
      <c r="AC124" s="153">
        <f t="shared" ref="AC124:AC153" si="190">+AA124</f>
        <v>0.42</v>
      </c>
      <c r="AD124" s="152" t="str">
        <f t="shared" ref="AD124:AD153" si="191">IFERROR(IF(AE124="","",IF(AE124&lt;=0.2,"Leve",IF(AE124&lt;=0.4,"Menor",IF(AE124&lt;=0.6,"Moderado",IF(AE124&lt;=0.8,"Mayor","Catastrófico"))))),"")</f>
        <v>Moderado</v>
      </c>
      <c r="AE124" s="153">
        <f t="shared" ref="AE124:AE153" si="192">IFERROR(IF(T124="Impacto",(P124-(+P124*W124)),IF(T124="Probabilidad",P124,"")),"")</f>
        <v>0.6</v>
      </c>
      <c r="AF124" s="154" t="str">
        <f t="shared" ref="AF124:AF153" si="193">IFERROR(IF(OR(AND(AB124="Muy Baja",AD124="Leve"),AND(AB124="Muy Baja",AD124="Menor"),AND(AB124="Baja",AD124="Leve")),"Bajo",IF(OR(AND(AB124="Muy baja",AD124="Moderado"),AND(AB124="Baja",AD124="Menor"),AND(AB124="Baja",AD124="Moderado"),AND(AB124="Media",AD124="Leve"),AND(AB124="Media",AD124="Menor"),AND(AB124="Media",AD124="Moderado"),AND(AB124="Alta",AD124="Leve"),AND(AB124="Alta",AD124="Menor")),"Moderado",IF(OR(AND(AB124="Muy Baja",AD124="Mayor"),AND(AB124="Baja",AD124="Mayor"),AND(AB124="Media",AD124="Mayor"),AND(AB124="Alta",AD124="Moderado"),AND(AB124="Alta",AD124="Mayor"),AND(AB124="Muy Alta",AD124="Leve"),AND(AB124="Muy Alta",AD124="Menor"),AND(AB124="Muy Alta",AD124="Moderado"),AND(AB124="Muy Alta",AD124="Mayor")),"Alto",IF(OR(AND(AB124="Muy Baja",AD124="Catastrófico"),AND(AB124="Baja",AD124="Catastrófico"),AND(AB124="Media",AD124="Catastrófico"),AND(AB124="Alta",AD124="Catastrófico"),AND(AB124="Muy Alta",AD124="Catastrófico")),"Extremo","")))),"")</f>
        <v>Moderado</v>
      </c>
      <c r="AG124" s="155" t="s">
        <v>122</v>
      </c>
      <c r="AH124" s="158" t="s">
        <v>505</v>
      </c>
      <c r="AI124" s="148" t="s">
        <v>421</v>
      </c>
      <c r="AJ124" s="149" t="s">
        <v>196</v>
      </c>
      <c r="AK124" s="149" t="s">
        <v>196</v>
      </c>
      <c r="AL124" s="158" t="s">
        <v>425</v>
      </c>
      <c r="AM124" s="95" t="s">
        <v>746</v>
      </c>
      <c r="AN124" s="95" t="s">
        <v>747</v>
      </c>
      <c r="AO124" s="218">
        <v>1</v>
      </c>
      <c r="AP124" s="95" t="s">
        <v>748</v>
      </c>
      <c r="AQ124" s="95" t="s">
        <v>747</v>
      </c>
      <c r="AR124" s="218">
        <v>1</v>
      </c>
      <c r="AS124" s="95"/>
      <c r="AT124" s="232" t="s">
        <v>629</v>
      </c>
      <c r="AU124" s="137" t="s">
        <v>630</v>
      </c>
      <c r="AV124" s="137" t="s">
        <v>630</v>
      </c>
      <c r="AW124" s="137" t="s">
        <v>630</v>
      </c>
      <c r="AX124" s="95"/>
    </row>
    <row r="125" spans="1:50" s="147" customFormat="1" ht="151.5" customHeight="1" x14ac:dyDescent="0.25">
      <c r="A125" s="341"/>
      <c r="B125" s="339"/>
      <c r="C125" s="379"/>
      <c r="D125" s="379"/>
      <c r="E125" s="355"/>
      <c r="F125" s="355"/>
      <c r="G125" s="355"/>
      <c r="H125" s="358"/>
      <c r="I125" s="355"/>
      <c r="J125" s="352"/>
      <c r="K125" s="343"/>
      <c r="L125" s="346"/>
      <c r="M125" s="370"/>
      <c r="N125" s="167"/>
      <c r="O125" s="343"/>
      <c r="P125" s="346"/>
      <c r="Q125" s="349"/>
      <c r="R125" s="157">
        <v>2</v>
      </c>
      <c r="S125" s="158"/>
      <c r="T125" s="159" t="str">
        <f t="shared" si="186"/>
        <v/>
      </c>
      <c r="U125" s="162"/>
      <c r="V125" s="162"/>
      <c r="W125" s="163"/>
      <c r="X125" s="162"/>
      <c r="Y125" s="162"/>
      <c r="Z125" s="162"/>
      <c r="AA125" s="142" t="str">
        <f>IFERROR(IF(T125="Probabilidad",(AA124-(+AA124*W125)),IF(T125="Impacto",L125,"")),"")</f>
        <v/>
      </c>
      <c r="AB125" s="152" t="str">
        <f t="shared" si="189"/>
        <v/>
      </c>
      <c r="AC125" s="153" t="str">
        <f t="shared" si="190"/>
        <v/>
      </c>
      <c r="AD125" s="152" t="str">
        <f t="shared" si="191"/>
        <v/>
      </c>
      <c r="AE125" s="153" t="str">
        <f t="shared" si="192"/>
        <v/>
      </c>
      <c r="AF125" s="154" t="str">
        <f t="shared" si="193"/>
        <v/>
      </c>
      <c r="AG125" s="155"/>
      <c r="AH125" s="95" t="s">
        <v>559</v>
      </c>
      <c r="AI125" s="137" t="s">
        <v>527</v>
      </c>
      <c r="AJ125" s="135" t="s">
        <v>196</v>
      </c>
      <c r="AK125" s="135" t="s">
        <v>196</v>
      </c>
      <c r="AL125" s="95" t="s">
        <v>425</v>
      </c>
      <c r="AM125" s="95" t="s">
        <v>630</v>
      </c>
      <c r="AN125" s="95" t="s">
        <v>630</v>
      </c>
      <c r="AO125" s="218" t="s">
        <v>630</v>
      </c>
      <c r="AP125" s="95" t="s">
        <v>749</v>
      </c>
      <c r="AQ125" s="95" t="s">
        <v>750</v>
      </c>
      <c r="AR125" s="218">
        <v>1</v>
      </c>
      <c r="AS125" s="95"/>
      <c r="AT125" s="232" t="s">
        <v>629</v>
      </c>
      <c r="AU125" s="137" t="s">
        <v>630</v>
      </c>
      <c r="AV125" s="137" t="s">
        <v>630</v>
      </c>
      <c r="AW125" s="137" t="s">
        <v>630</v>
      </c>
      <c r="AX125" s="95"/>
    </row>
    <row r="126" spans="1:50" s="147" customFormat="1" ht="151.5" hidden="1" customHeight="1" x14ac:dyDescent="0.25">
      <c r="A126" s="341"/>
      <c r="B126" s="340"/>
      <c r="C126" s="379"/>
      <c r="D126" s="379"/>
      <c r="E126" s="355"/>
      <c r="F126" s="355"/>
      <c r="G126" s="355"/>
      <c r="H126" s="358"/>
      <c r="I126" s="355"/>
      <c r="J126" s="352"/>
      <c r="K126" s="344"/>
      <c r="L126" s="347"/>
      <c r="M126" s="370"/>
      <c r="N126" s="167"/>
      <c r="O126" s="344"/>
      <c r="P126" s="347"/>
      <c r="Q126" s="350"/>
      <c r="R126" s="157">
        <v>3</v>
      </c>
      <c r="S126" s="158"/>
      <c r="T126" s="159" t="str">
        <f t="shared" si="186"/>
        <v/>
      </c>
      <c r="U126" s="162"/>
      <c r="V126" s="162"/>
      <c r="W126" s="163"/>
      <c r="X126" s="162"/>
      <c r="Y126" s="162"/>
      <c r="Z126" s="162"/>
      <c r="AA126" s="142" t="str">
        <f>IFERROR(IF(T126="Probabilidad",(AA125-(+AA125*W126)),IF(T126="Impacto",L126,"")),"")</f>
        <v/>
      </c>
      <c r="AB126" s="152" t="str">
        <f t="shared" si="189"/>
        <v/>
      </c>
      <c r="AC126" s="153" t="str">
        <f t="shared" si="190"/>
        <v/>
      </c>
      <c r="AD126" s="152" t="str">
        <f t="shared" si="191"/>
        <v/>
      </c>
      <c r="AE126" s="153" t="str">
        <f t="shared" si="192"/>
        <v/>
      </c>
      <c r="AF126" s="154" t="str">
        <f t="shared" si="193"/>
        <v/>
      </c>
      <c r="AG126" s="155"/>
      <c r="AH126" s="158"/>
      <c r="AI126" s="148"/>
      <c r="AJ126" s="149"/>
      <c r="AK126" s="149"/>
      <c r="AL126" s="158"/>
      <c r="AM126" s="95"/>
      <c r="AN126" s="95"/>
      <c r="AO126" s="215"/>
      <c r="AP126" s="95"/>
      <c r="AQ126" s="95"/>
      <c r="AR126" s="137"/>
      <c r="AS126" s="95"/>
      <c r="AT126" s="232" t="s">
        <v>629</v>
      </c>
      <c r="AU126" s="137" t="s">
        <v>630</v>
      </c>
      <c r="AV126" s="137" t="s">
        <v>630</v>
      </c>
      <c r="AW126" s="137" t="s">
        <v>630</v>
      </c>
      <c r="AX126" s="95"/>
    </row>
    <row r="127" spans="1:50" s="147" customFormat="1" ht="204.75" customHeight="1" x14ac:dyDescent="0.25">
      <c r="A127" s="341">
        <v>41</v>
      </c>
      <c r="B127" s="338" t="s">
        <v>417</v>
      </c>
      <c r="C127" s="378" t="s">
        <v>418</v>
      </c>
      <c r="D127" s="360" t="s">
        <v>419</v>
      </c>
      <c r="E127" s="354" t="s">
        <v>120</v>
      </c>
      <c r="F127" s="377" t="s">
        <v>426</v>
      </c>
      <c r="G127" s="354" t="s">
        <v>495</v>
      </c>
      <c r="H127" s="380" t="s">
        <v>496</v>
      </c>
      <c r="I127" s="354" t="s">
        <v>116</v>
      </c>
      <c r="J127" s="351">
        <v>13</v>
      </c>
      <c r="K127" s="342" t="str">
        <f>IF(J127&lt;=0,"",IF(J127&lt;=2,"Muy Baja",IF(J127&lt;=24,"Baja",IF(J127&lt;=500,"Media",IF(J127&lt;=5000,"Alta","Muy Alta")))))</f>
        <v>Baja</v>
      </c>
      <c r="L127" s="345">
        <f>IF(K127="","",IF(K127="Muy Baja",0.2,IF(K127="Baja",0.4,IF(K127="Media",0.6,IF(K127="Alta",0.8,IF(K127="Muy Alta",1,))))))</f>
        <v>0.4</v>
      </c>
      <c r="M127" s="369" t="s">
        <v>486</v>
      </c>
      <c r="N127" s="161" t="str">
        <f>IF(NOT(ISERROR(MATCH(M127,'Tabla Impacto'!$B$221:$B$223,0))),'Tabla Impacto'!$F$223&amp;"Por favor no seleccionar los criterios de impacto(Afectación Económica o presupuestal y Pérdida Reputacional)",M127)</f>
        <v xml:space="preserve"> El riesgo afecta la imagen de la entidad con algunos usuarios de relevancia frente al logro de los objetivos</v>
      </c>
      <c r="O127" s="342" t="str">
        <f>IF(OR(N127='Tabla Impacto'!$C$11,N127='Tabla Impacto'!$D$11),"Leve",IF(OR(N127='Tabla Impacto'!$C$12,N127='Tabla Impacto'!$D$12),"Menor",IF(OR(N127='Tabla Impacto'!$C$13,N127='Tabla Impacto'!$D$13),"Moderado",IF(OR(N127='Tabla Impacto'!$C$14,N127='Tabla Impacto'!$D$14),"Mayor",IF(OR(N127='Tabla Impacto'!$C$15,N127='Tabla Impacto'!$D$15),"Catastrófico","")))))</f>
        <v>Moderado</v>
      </c>
      <c r="P127" s="345">
        <f>IF(O127="","",IF(O127="Leve",0.2,IF(O127="Menor",0.4,IF(O127="Moderado",0.6,IF(O127="Mayor",0.8,IF(O127="Catastrófico",1,))))))</f>
        <v>0.6</v>
      </c>
      <c r="Q127" s="348" t="str">
        <f>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Moderado</v>
      </c>
      <c r="R127" s="157">
        <v>1</v>
      </c>
      <c r="S127" s="173" t="s">
        <v>506</v>
      </c>
      <c r="T127" s="159" t="str">
        <f t="shared" si="186"/>
        <v>Probabilidad</v>
      </c>
      <c r="U127" s="162" t="s">
        <v>15</v>
      </c>
      <c r="V127" s="162" t="s">
        <v>9</v>
      </c>
      <c r="W127" s="163" t="str">
        <f t="shared" si="187"/>
        <v>30%</v>
      </c>
      <c r="X127" s="162" t="s">
        <v>20</v>
      </c>
      <c r="Y127" s="162" t="s">
        <v>22</v>
      </c>
      <c r="Z127" s="162" t="s">
        <v>110</v>
      </c>
      <c r="AA127" s="142">
        <f t="shared" si="188"/>
        <v>0.28000000000000003</v>
      </c>
      <c r="AB127" s="152" t="str">
        <f t="shared" si="189"/>
        <v>Baja</v>
      </c>
      <c r="AC127" s="153">
        <f t="shared" si="190"/>
        <v>0.28000000000000003</v>
      </c>
      <c r="AD127" s="152" t="str">
        <f t="shared" si="191"/>
        <v>Moderado</v>
      </c>
      <c r="AE127" s="153">
        <f t="shared" si="192"/>
        <v>0.6</v>
      </c>
      <c r="AF127" s="154" t="str">
        <f t="shared" si="193"/>
        <v>Moderado</v>
      </c>
      <c r="AG127" s="155" t="s">
        <v>122</v>
      </c>
      <c r="AH127" s="158" t="s">
        <v>507</v>
      </c>
      <c r="AI127" s="148" t="s">
        <v>212</v>
      </c>
      <c r="AJ127" s="149" t="s">
        <v>196</v>
      </c>
      <c r="AK127" s="149" t="s">
        <v>196</v>
      </c>
      <c r="AL127" s="158" t="s">
        <v>427</v>
      </c>
      <c r="AM127" s="95" t="s">
        <v>751</v>
      </c>
      <c r="AN127" s="95" t="s">
        <v>752</v>
      </c>
      <c r="AO127" s="218">
        <v>1</v>
      </c>
      <c r="AP127" s="95" t="s">
        <v>753</v>
      </c>
      <c r="AQ127" s="95" t="s">
        <v>754</v>
      </c>
      <c r="AR127" s="215">
        <v>1</v>
      </c>
      <c r="AS127" s="95"/>
      <c r="AT127" s="232" t="s">
        <v>629</v>
      </c>
      <c r="AU127" s="137" t="s">
        <v>630</v>
      </c>
      <c r="AV127" s="137" t="s">
        <v>630</v>
      </c>
      <c r="AW127" s="137" t="s">
        <v>630</v>
      </c>
      <c r="AX127" s="95"/>
    </row>
    <row r="128" spans="1:50" s="147" customFormat="1" ht="151.5" hidden="1" customHeight="1" x14ac:dyDescent="0.25">
      <c r="A128" s="341"/>
      <c r="B128" s="339"/>
      <c r="C128" s="379"/>
      <c r="D128" s="379"/>
      <c r="E128" s="355"/>
      <c r="F128" s="355"/>
      <c r="G128" s="355"/>
      <c r="H128" s="358"/>
      <c r="I128" s="355"/>
      <c r="J128" s="352"/>
      <c r="K128" s="343"/>
      <c r="L128" s="346"/>
      <c r="M128" s="370"/>
      <c r="N128" s="167"/>
      <c r="O128" s="343"/>
      <c r="P128" s="346"/>
      <c r="Q128" s="349"/>
      <c r="R128" s="157">
        <v>2</v>
      </c>
      <c r="S128" s="158"/>
      <c r="T128" s="159" t="str">
        <f t="shared" si="186"/>
        <v/>
      </c>
      <c r="U128" s="162"/>
      <c r="V128" s="162"/>
      <c r="W128" s="163"/>
      <c r="X128" s="162"/>
      <c r="Y128" s="162"/>
      <c r="Z128" s="162"/>
      <c r="AA128" s="142" t="str">
        <f>IFERROR(IF(T128="Probabilidad",(AA127-(+AA127*W128)),IF(T128="Impacto",L128,"")),"")</f>
        <v/>
      </c>
      <c r="AB128" s="152" t="str">
        <f t="shared" si="189"/>
        <v/>
      </c>
      <c r="AC128" s="153" t="str">
        <f t="shared" si="190"/>
        <v/>
      </c>
      <c r="AD128" s="152" t="str">
        <f t="shared" si="191"/>
        <v/>
      </c>
      <c r="AE128" s="153" t="str">
        <f t="shared" si="192"/>
        <v/>
      </c>
      <c r="AF128" s="154" t="str">
        <f t="shared" si="193"/>
        <v/>
      </c>
      <c r="AG128" s="155"/>
      <c r="AH128" s="158"/>
      <c r="AI128" s="148"/>
      <c r="AJ128" s="149"/>
      <c r="AK128" s="149"/>
      <c r="AL128" s="158"/>
      <c r="AM128" s="95"/>
      <c r="AN128" s="95"/>
      <c r="AO128" s="215"/>
      <c r="AP128" s="95"/>
      <c r="AQ128" s="95"/>
      <c r="AR128" s="137"/>
      <c r="AS128" s="95"/>
      <c r="AT128" s="232" t="s">
        <v>629</v>
      </c>
      <c r="AU128" s="137" t="s">
        <v>630</v>
      </c>
      <c r="AV128" s="137" t="s">
        <v>630</v>
      </c>
      <c r="AW128" s="137" t="s">
        <v>630</v>
      </c>
      <c r="AX128" s="95"/>
    </row>
    <row r="129" spans="1:50" s="147" customFormat="1" ht="151.5" hidden="1" customHeight="1" x14ac:dyDescent="0.25">
      <c r="A129" s="341"/>
      <c r="B129" s="340"/>
      <c r="C129" s="379"/>
      <c r="D129" s="379"/>
      <c r="E129" s="355"/>
      <c r="F129" s="355"/>
      <c r="G129" s="355"/>
      <c r="H129" s="358"/>
      <c r="I129" s="355"/>
      <c r="J129" s="352"/>
      <c r="K129" s="344"/>
      <c r="L129" s="347"/>
      <c r="M129" s="370"/>
      <c r="N129" s="167"/>
      <c r="O129" s="344"/>
      <c r="P129" s="347"/>
      <c r="Q129" s="350"/>
      <c r="R129" s="157">
        <v>3</v>
      </c>
      <c r="S129" s="158"/>
      <c r="T129" s="159" t="str">
        <f t="shared" si="186"/>
        <v/>
      </c>
      <c r="U129" s="162"/>
      <c r="V129" s="162"/>
      <c r="W129" s="163"/>
      <c r="X129" s="162"/>
      <c r="Y129" s="162"/>
      <c r="Z129" s="162"/>
      <c r="AA129" s="142" t="str">
        <f>IFERROR(IF(T129="Probabilidad",(AA128-(+AA128*W129)),IF(T129="Impacto",L129,"")),"")</f>
        <v/>
      </c>
      <c r="AB129" s="152" t="str">
        <f t="shared" si="189"/>
        <v/>
      </c>
      <c r="AC129" s="153" t="str">
        <f t="shared" si="190"/>
        <v/>
      </c>
      <c r="AD129" s="152" t="str">
        <f t="shared" si="191"/>
        <v/>
      </c>
      <c r="AE129" s="153" t="str">
        <f t="shared" si="192"/>
        <v/>
      </c>
      <c r="AF129" s="154" t="str">
        <f t="shared" si="193"/>
        <v/>
      </c>
      <c r="AG129" s="155"/>
      <c r="AH129" s="158"/>
      <c r="AI129" s="148"/>
      <c r="AJ129" s="149"/>
      <c r="AK129" s="149"/>
      <c r="AL129" s="158"/>
      <c r="AM129" s="95"/>
      <c r="AN129" s="95"/>
      <c r="AO129" s="215"/>
      <c r="AP129" s="95"/>
      <c r="AQ129" s="95"/>
      <c r="AR129" s="137"/>
      <c r="AS129" s="95"/>
      <c r="AT129" s="232" t="s">
        <v>629</v>
      </c>
      <c r="AU129" s="137" t="s">
        <v>630</v>
      </c>
      <c r="AV129" s="137" t="s">
        <v>630</v>
      </c>
      <c r="AW129" s="137" t="s">
        <v>630</v>
      </c>
      <c r="AX129" s="95"/>
    </row>
    <row r="130" spans="1:50" s="147" customFormat="1" ht="182.25" customHeight="1" x14ac:dyDescent="0.25">
      <c r="A130" s="341">
        <v>42</v>
      </c>
      <c r="B130" s="338" t="s">
        <v>318</v>
      </c>
      <c r="C130" s="360" t="s">
        <v>319</v>
      </c>
      <c r="D130" s="360" t="s">
        <v>320</v>
      </c>
      <c r="E130" s="354" t="s">
        <v>120</v>
      </c>
      <c r="F130" s="377" t="s">
        <v>474</v>
      </c>
      <c r="G130" s="354" t="s">
        <v>428</v>
      </c>
      <c r="H130" s="357" t="s">
        <v>429</v>
      </c>
      <c r="I130" s="354" t="s">
        <v>115</v>
      </c>
      <c r="J130" s="351">
        <v>53</v>
      </c>
      <c r="K130" s="342" t="str">
        <f>IF(J130&lt;=0,"",IF(J130&lt;=2,"Muy Baja",IF(J130&lt;=24,"Baja",IF(J130&lt;=500,"Media",IF(J130&lt;=5000,"Alta","Muy Alta")))))</f>
        <v>Media</v>
      </c>
      <c r="L130" s="345">
        <f>IF(K130="","",IF(K130="Muy Baja",0.2,IF(K130="Baja",0.4,IF(K130="Media",0.6,IF(K130="Alta",0.8,IF(K130="Muy Alta",1,))))))</f>
        <v>0.6</v>
      </c>
      <c r="M130" s="369" t="s">
        <v>493</v>
      </c>
      <c r="N130" s="161" t="str">
        <f>IF(NOT(ISERROR(MATCH(M130,'Tabla Impacto'!$B$221:$B$223,0))),'Tabla Impacto'!$F$223&amp;"Por favor no seleccionar los criterios de impacto(Afectación Económica o presupuestal y Pérdida Reputacional)",M130)</f>
        <v xml:space="preserve"> El riesgo afecta la imagen de la entidad con efecto publicitario sostenido a nivel de sector administrativo, nivel departamental o municipal</v>
      </c>
      <c r="O130" s="342" t="str">
        <f>IF(OR(N130='Tabla Impacto'!$C$11,N130='Tabla Impacto'!$D$11),"Leve",IF(OR(N130='Tabla Impacto'!$C$12,N130='Tabla Impacto'!$D$12),"Menor",IF(OR(N130='Tabla Impacto'!$C$13,N130='Tabla Impacto'!$D$13),"Moderado",IF(OR(N130='Tabla Impacto'!$C$14,N130='Tabla Impacto'!$D$14),"Mayor",IF(OR(N130='Tabla Impacto'!$C$15,N130='Tabla Impacto'!$D$15),"Catastrófico","")))))</f>
        <v>Mayor</v>
      </c>
      <c r="P130" s="345">
        <f>IF(O130="","",IF(O130="Leve",0.2,IF(O130="Menor",0.4,IF(O130="Moderado",0.6,IF(O130="Mayor",0.8,IF(O130="Catastrófico",1,))))))</f>
        <v>0.8</v>
      </c>
      <c r="Q130" s="348" t="str">
        <f>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Alto</v>
      </c>
      <c r="R130" s="157">
        <v>1</v>
      </c>
      <c r="S130" s="158" t="s">
        <v>475</v>
      </c>
      <c r="T130" s="159" t="str">
        <f t="shared" si="186"/>
        <v>Probabilidad</v>
      </c>
      <c r="U130" s="162" t="s">
        <v>15</v>
      </c>
      <c r="V130" s="162" t="s">
        <v>9</v>
      </c>
      <c r="W130" s="163" t="str">
        <f t="shared" si="187"/>
        <v>30%</v>
      </c>
      <c r="X130" s="162" t="s">
        <v>19</v>
      </c>
      <c r="Y130" s="162" t="s">
        <v>22</v>
      </c>
      <c r="Z130" s="162" t="s">
        <v>110</v>
      </c>
      <c r="AA130" s="142">
        <f t="shared" si="188"/>
        <v>0.42</v>
      </c>
      <c r="AB130" s="152" t="str">
        <f t="shared" si="189"/>
        <v>Media</v>
      </c>
      <c r="AC130" s="153">
        <f t="shared" si="190"/>
        <v>0.42</v>
      </c>
      <c r="AD130" s="152" t="str">
        <f t="shared" si="191"/>
        <v>Mayor</v>
      </c>
      <c r="AE130" s="153">
        <f t="shared" si="192"/>
        <v>0.8</v>
      </c>
      <c r="AF130" s="154" t="str">
        <f t="shared" si="193"/>
        <v>Alto</v>
      </c>
      <c r="AG130" s="155" t="s">
        <v>122</v>
      </c>
      <c r="AH130" s="158" t="s">
        <v>477</v>
      </c>
      <c r="AI130" s="150" t="s">
        <v>260</v>
      </c>
      <c r="AJ130" s="149">
        <v>44562</v>
      </c>
      <c r="AK130" s="149" t="s">
        <v>373</v>
      </c>
      <c r="AL130" s="158" t="s">
        <v>476</v>
      </c>
      <c r="AM130" s="230" t="s">
        <v>766</v>
      </c>
      <c r="AN130" s="221" t="s">
        <v>767</v>
      </c>
      <c r="AO130" s="218">
        <v>1</v>
      </c>
      <c r="AP130" s="213" t="s">
        <v>769</v>
      </c>
      <c r="AQ130" s="216" t="s">
        <v>768</v>
      </c>
      <c r="AR130" s="231">
        <v>1</v>
      </c>
      <c r="AS130" s="95"/>
      <c r="AT130" s="232" t="s">
        <v>629</v>
      </c>
      <c r="AU130" s="137" t="s">
        <v>630</v>
      </c>
      <c r="AV130" s="137" t="s">
        <v>630</v>
      </c>
      <c r="AW130" s="137" t="s">
        <v>630</v>
      </c>
      <c r="AX130" s="95"/>
    </row>
    <row r="131" spans="1:50" s="147" customFormat="1" ht="284.25" customHeight="1" x14ac:dyDescent="0.25">
      <c r="A131" s="341"/>
      <c r="B131" s="339"/>
      <c r="C131" s="361"/>
      <c r="D131" s="361"/>
      <c r="E131" s="355"/>
      <c r="F131" s="355"/>
      <c r="G131" s="355"/>
      <c r="H131" s="358"/>
      <c r="I131" s="355"/>
      <c r="J131" s="352"/>
      <c r="K131" s="343"/>
      <c r="L131" s="346"/>
      <c r="M131" s="370"/>
      <c r="N131" s="167"/>
      <c r="O131" s="343"/>
      <c r="P131" s="346"/>
      <c r="Q131" s="349"/>
      <c r="R131" s="157">
        <v>2</v>
      </c>
      <c r="S131" s="158" t="s">
        <v>508</v>
      </c>
      <c r="T131" s="159" t="str">
        <f t="shared" si="186"/>
        <v>Probabilidad</v>
      </c>
      <c r="U131" s="162" t="s">
        <v>14</v>
      </c>
      <c r="V131" s="162" t="s">
        <v>9</v>
      </c>
      <c r="W131" s="163" t="str">
        <f t="shared" si="187"/>
        <v>40%</v>
      </c>
      <c r="X131" s="162" t="s">
        <v>19</v>
      </c>
      <c r="Y131" s="162" t="s">
        <v>22</v>
      </c>
      <c r="Z131" s="162" t="s">
        <v>110</v>
      </c>
      <c r="AA131" s="142">
        <f>IFERROR(IF(T131="Probabilidad",(AA130-(+AA130*W131)),IF(T131="Impacto",L131,"")),"")</f>
        <v>0.252</v>
      </c>
      <c r="AB131" s="152" t="str">
        <f t="shared" si="189"/>
        <v>Baja</v>
      </c>
      <c r="AC131" s="153">
        <f t="shared" si="190"/>
        <v>0.252</v>
      </c>
      <c r="AD131" s="152" t="str">
        <f t="shared" si="191"/>
        <v>Mayor</v>
      </c>
      <c r="AE131" s="153">
        <v>0.8</v>
      </c>
      <c r="AF131" s="154" t="str">
        <f t="shared" si="193"/>
        <v>Alto</v>
      </c>
      <c r="AG131" s="155" t="s">
        <v>122</v>
      </c>
      <c r="AH131" s="158" t="s">
        <v>509</v>
      </c>
      <c r="AI131" s="148" t="s">
        <v>203</v>
      </c>
      <c r="AJ131" s="149">
        <v>44562</v>
      </c>
      <c r="AK131" s="149" t="s">
        <v>373</v>
      </c>
      <c r="AL131" s="158" t="s">
        <v>476</v>
      </c>
      <c r="AM131" s="221" t="s">
        <v>770</v>
      </c>
      <c r="AN131" s="221" t="s">
        <v>771</v>
      </c>
      <c r="AO131" s="218">
        <v>1</v>
      </c>
      <c r="AP131" s="221" t="s">
        <v>755</v>
      </c>
      <c r="AQ131" s="216" t="s">
        <v>772</v>
      </c>
      <c r="AR131" s="218">
        <v>1</v>
      </c>
      <c r="AS131" s="95"/>
      <c r="AT131" s="232" t="s">
        <v>629</v>
      </c>
      <c r="AU131" s="137" t="s">
        <v>630</v>
      </c>
      <c r="AV131" s="137" t="s">
        <v>630</v>
      </c>
      <c r="AW131" s="137" t="s">
        <v>630</v>
      </c>
      <c r="AX131" s="95"/>
    </row>
    <row r="132" spans="1:50" s="147" customFormat="1" ht="221.25" customHeight="1" x14ac:dyDescent="0.25">
      <c r="A132" s="341"/>
      <c r="B132" s="340"/>
      <c r="C132" s="361"/>
      <c r="D132" s="361"/>
      <c r="E132" s="355"/>
      <c r="F132" s="355"/>
      <c r="G132" s="355"/>
      <c r="H132" s="358"/>
      <c r="I132" s="355"/>
      <c r="J132" s="352"/>
      <c r="K132" s="344"/>
      <c r="L132" s="347"/>
      <c r="M132" s="370"/>
      <c r="N132" s="167"/>
      <c r="O132" s="344"/>
      <c r="P132" s="347"/>
      <c r="Q132" s="350"/>
      <c r="R132" s="157">
        <v>3</v>
      </c>
      <c r="S132" s="158" t="s">
        <v>323</v>
      </c>
      <c r="T132" s="159" t="str">
        <f t="shared" si="186"/>
        <v>Probabilidad</v>
      </c>
      <c r="U132" s="162" t="s">
        <v>14</v>
      </c>
      <c r="V132" s="162" t="s">
        <v>9</v>
      </c>
      <c r="W132" s="163" t="str">
        <f t="shared" si="187"/>
        <v>40%</v>
      </c>
      <c r="X132" s="162" t="s">
        <v>19</v>
      </c>
      <c r="Y132" s="162" t="s">
        <v>22</v>
      </c>
      <c r="Z132" s="162" t="s">
        <v>110</v>
      </c>
      <c r="AA132" s="142">
        <f>IFERROR(IF(T132="Probabilidad",(AA131-(+AA131*W132)),IF(T132="Impacto",L132,"")),"")</f>
        <v>0.1512</v>
      </c>
      <c r="AB132" s="152" t="str">
        <f t="shared" si="189"/>
        <v>Muy Baja</v>
      </c>
      <c r="AC132" s="153">
        <f t="shared" si="190"/>
        <v>0.1512</v>
      </c>
      <c r="AD132" s="152" t="str">
        <f t="shared" si="191"/>
        <v>Mayor</v>
      </c>
      <c r="AE132" s="153">
        <v>0.8</v>
      </c>
      <c r="AF132" s="154" t="str">
        <f t="shared" si="193"/>
        <v>Alto</v>
      </c>
      <c r="AG132" s="155" t="s">
        <v>122</v>
      </c>
      <c r="AH132" s="158" t="s">
        <v>509</v>
      </c>
      <c r="AI132" s="148" t="s">
        <v>203</v>
      </c>
      <c r="AJ132" s="149">
        <v>44562</v>
      </c>
      <c r="AK132" s="149" t="s">
        <v>373</v>
      </c>
      <c r="AL132" s="158" t="s">
        <v>476</v>
      </c>
      <c r="AM132" s="221" t="s">
        <v>756</v>
      </c>
      <c r="AN132" s="221" t="s">
        <v>851</v>
      </c>
      <c r="AO132" s="218">
        <v>1</v>
      </c>
      <c r="AP132" s="221" t="s">
        <v>755</v>
      </c>
      <c r="AQ132" s="216" t="s">
        <v>773</v>
      </c>
      <c r="AR132" s="218">
        <v>1</v>
      </c>
      <c r="AS132" s="95"/>
      <c r="AT132" s="232" t="s">
        <v>629</v>
      </c>
      <c r="AU132" s="137" t="s">
        <v>630</v>
      </c>
      <c r="AV132" s="137" t="s">
        <v>630</v>
      </c>
      <c r="AW132" s="137" t="s">
        <v>630</v>
      </c>
      <c r="AX132" s="95"/>
    </row>
    <row r="133" spans="1:50" s="147" customFormat="1" ht="151.5" customHeight="1" x14ac:dyDescent="0.25">
      <c r="A133" s="341">
        <v>43</v>
      </c>
      <c r="B133" s="338" t="s">
        <v>318</v>
      </c>
      <c r="C133" s="360" t="s">
        <v>319</v>
      </c>
      <c r="D133" s="360" t="s">
        <v>320</v>
      </c>
      <c r="E133" s="354" t="s">
        <v>120</v>
      </c>
      <c r="F133" s="377" t="s">
        <v>324</v>
      </c>
      <c r="G133" s="377" t="s">
        <v>431</v>
      </c>
      <c r="H133" s="357" t="s">
        <v>348</v>
      </c>
      <c r="I133" s="354" t="s">
        <v>328</v>
      </c>
      <c r="J133" s="351">
        <v>56</v>
      </c>
      <c r="K133" s="342" t="str">
        <f>IF(J133&lt;=0,"",IF(J133&lt;=2,"Muy Baja",IF(J133&lt;=24,"Baja",IF(J133&lt;=500,"Media",IF(J133&lt;=5000,"Alta","Muy Alta")))))</f>
        <v>Media</v>
      </c>
      <c r="L133" s="345">
        <f>IF(K133="","",IF(K133="Muy Baja",0.2,IF(K133="Baja",0.4,IF(K133="Media",0.6,IF(K133="Alta",0.8,IF(K133="Muy Alta",1,))))))</f>
        <v>0.6</v>
      </c>
      <c r="M133" s="369" t="s">
        <v>486</v>
      </c>
      <c r="N133" s="161" t="str">
        <f>IF(NOT(ISERROR(MATCH(M133,'Tabla Impacto'!$B$221:$B$223,0))),'Tabla Impacto'!$F$223&amp;"Por favor no seleccionar los criterios de impacto(Afectación Económica o presupuestal y Pérdida Reputacional)",M133)</f>
        <v xml:space="preserve"> El riesgo afecta la imagen de la entidad con algunos usuarios de relevancia frente al logro de los objetivos</v>
      </c>
      <c r="O133" s="342" t="str">
        <f>IF(OR(N133='Tabla Impacto'!$C$11,N133='Tabla Impacto'!$D$11),"Leve",IF(OR(N133='Tabla Impacto'!$C$12,N133='Tabla Impacto'!$D$12),"Menor",IF(OR(N133='Tabla Impacto'!$C$13,N133='Tabla Impacto'!$D$13),"Moderado",IF(OR(N133='Tabla Impacto'!$C$14,N133='Tabla Impacto'!$D$14),"Mayor",IF(OR(N133='Tabla Impacto'!$C$15,N133='Tabla Impacto'!$D$15),"Catastrófico","")))))</f>
        <v>Moderado</v>
      </c>
      <c r="P133" s="345">
        <f>IF(O133="","",IF(O133="Leve",0.2,IF(O133="Menor",0.4,IF(O133="Moderado",0.6,IF(O133="Mayor",0.8,IF(O133="Catastrófico",1,))))))</f>
        <v>0.6</v>
      </c>
      <c r="Q133" s="348" t="str">
        <f>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Moderado</v>
      </c>
      <c r="R133" s="157">
        <v>1</v>
      </c>
      <c r="S133" s="158" t="s">
        <v>321</v>
      </c>
      <c r="T133" s="159" t="str">
        <f t="shared" si="186"/>
        <v>Probabilidad</v>
      </c>
      <c r="U133" s="162" t="s">
        <v>15</v>
      </c>
      <c r="V133" s="162" t="s">
        <v>9</v>
      </c>
      <c r="W133" s="163" t="str">
        <f t="shared" si="187"/>
        <v>30%</v>
      </c>
      <c r="X133" s="162" t="s">
        <v>20</v>
      </c>
      <c r="Y133" s="162" t="s">
        <v>23</v>
      </c>
      <c r="Z133" s="162" t="s">
        <v>111</v>
      </c>
      <c r="AA133" s="142">
        <f t="shared" si="188"/>
        <v>0.42</v>
      </c>
      <c r="AB133" s="152" t="str">
        <f t="shared" si="189"/>
        <v>Media</v>
      </c>
      <c r="AC133" s="153">
        <f t="shared" si="190"/>
        <v>0.42</v>
      </c>
      <c r="AD133" s="152" t="str">
        <f t="shared" si="191"/>
        <v>Moderado</v>
      </c>
      <c r="AE133" s="153">
        <f t="shared" si="192"/>
        <v>0.6</v>
      </c>
      <c r="AF133" s="154" t="str">
        <f t="shared" si="193"/>
        <v>Moderado</v>
      </c>
      <c r="AG133" s="155" t="s">
        <v>122</v>
      </c>
      <c r="AH133" s="158" t="s">
        <v>325</v>
      </c>
      <c r="AI133" s="150" t="s">
        <v>212</v>
      </c>
      <c r="AJ133" s="149">
        <v>44562</v>
      </c>
      <c r="AK133" s="149" t="s">
        <v>373</v>
      </c>
      <c r="AL133" s="158" t="s">
        <v>478</v>
      </c>
      <c r="AM133" s="221" t="s">
        <v>757</v>
      </c>
      <c r="AN133" s="221" t="s">
        <v>758</v>
      </c>
      <c r="AO133" s="218">
        <v>1</v>
      </c>
      <c r="AP133" s="221" t="s">
        <v>759</v>
      </c>
      <c r="AQ133" s="216" t="s">
        <v>760</v>
      </c>
      <c r="AR133" s="218">
        <v>1</v>
      </c>
      <c r="AS133" s="95"/>
      <c r="AT133" s="232" t="s">
        <v>629</v>
      </c>
      <c r="AU133" s="137" t="s">
        <v>630</v>
      </c>
      <c r="AV133" s="137" t="s">
        <v>630</v>
      </c>
      <c r="AW133" s="137" t="s">
        <v>630</v>
      </c>
      <c r="AX133" s="95"/>
    </row>
    <row r="134" spans="1:50" s="147" customFormat="1" ht="151.5" customHeight="1" x14ac:dyDescent="0.25">
      <c r="A134" s="341"/>
      <c r="B134" s="339"/>
      <c r="C134" s="361"/>
      <c r="D134" s="361"/>
      <c r="E134" s="355"/>
      <c r="F134" s="355"/>
      <c r="G134" s="355"/>
      <c r="H134" s="358"/>
      <c r="I134" s="355"/>
      <c r="J134" s="352"/>
      <c r="K134" s="343"/>
      <c r="L134" s="346"/>
      <c r="M134" s="370"/>
      <c r="N134" s="167"/>
      <c r="O134" s="343"/>
      <c r="P134" s="346"/>
      <c r="Q134" s="349"/>
      <c r="R134" s="157">
        <v>2</v>
      </c>
      <c r="S134" s="158" t="s">
        <v>322</v>
      </c>
      <c r="T134" s="159" t="str">
        <f t="shared" si="186"/>
        <v>Probabilidad</v>
      </c>
      <c r="U134" s="162" t="s">
        <v>15</v>
      </c>
      <c r="V134" s="162" t="s">
        <v>9</v>
      </c>
      <c r="W134" s="163" t="str">
        <f t="shared" si="187"/>
        <v>30%</v>
      </c>
      <c r="X134" s="162" t="s">
        <v>20</v>
      </c>
      <c r="Y134" s="162" t="s">
        <v>23</v>
      </c>
      <c r="Z134" s="162" t="s">
        <v>111</v>
      </c>
      <c r="AA134" s="142">
        <f>IFERROR(IF(T134="Probabilidad",(AA133-(+AA133*W134)),IF(T134="Impacto",L134,"")),"")</f>
        <v>0.29399999999999998</v>
      </c>
      <c r="AB134" s="152" t="str">
        <f t="shared" si="189"/>
        <v>Baja</v>
      </c>
      <c r="AC134" s="153">
        <f t="shared" si="190"/>
        <v>0.29399999999999998</v>
      </c>
      <c r="AD134" s="152" t="str">
        <f t="shared" si="191"/>
        <v>Moderado</v>
      </c>
      <c r="AE134" s="153">
        <v>0.6</v>
      </c>
      <c r="AF134" s="154" t="str">
        <f t="shared" si="193"/>
        <v>Moderado</v>
      </c>
      <c r="AG134" s="155" t="s">
        <v>122</v>
      </c>
      <c r="AH134" s="158" t="s">
        <v>509</v>
      </c>
      <c r="AI134" s="148" t="s">
        <v>203</v>
      </c>
      <c r="AJ134" s="149">
        <v>44562</v>
      </c>
      <c r="AK134" s="149" t="s">
        <v>373</v>
      </c>
      <c r="AL134" s="158" t="s">
        <v>478</v>
      </c>
      <c r="AM134" s="221" t="s">
        <v>766</v>
      </c>
      <c r="AN134" s="221" t="s">
        <v>767</v>
      </c>
      <c r="AO134" s="218">
        <v>1</v>
      </c>
      <c r="AP134" s="221" t="s">
        <v>755</v>
      </c>
      <c r="AQ134" s="216" t="s">
        <v>772</v>
      </c>
      <c r="AR134" s="218">
        <v>1</v>
      </c>
      <c r="AS134" s="95"/>
      <c r="AT134" s="232" t="s">
        <v>629</v>
      </c>
      <c r="AU134" s="137" t="s">
        <v>630</v>
      </c>
      <c r="AV134" s="137" t="s">
        <v>630</v>
      </c>
      <c r="AW134" s="137" t="s">
        <v>630</v>
      </c>
      <c r="AX134" s="95"/>
    </row>
    <row r="135" spans="1:50" s="147" customFormat="1" ht="151.5" customHeight="1" x14ac:dyDescent="0.25">
      <c r="A135" s="341"/>
      <c r="B135" s="340"/>
      <c r="C135" s="361"/>
      <c r="D135" s="361"/>
      <c r="E135" s="355"/>
      <c r="F135" s="355"/>
      <c r="G135" s="355"/>
      <c r="H135" s="358"/>
      <c r="I135" s="355"/>
      <c r="J135" s="352"/>
      <c r="K135" s="344"/>
      <c r="L135" s="347"/>
      <c r="M135" s="370"/>
      <c r="N135" s="167"/>
      <c r="O135" s="344"/>
      <c r="P135" s="347"/>
      <c r="Q135" s="350"/>
      <c r="R135" s="157">
        <v>3</v>
      </c>
      <c r="S135" s="158" t="s">
        <v>323</v>
      </c>
      <c r="T135" s="159" t="str">
        <f t="shared" si="186"/>
        <v>Probabilidad</v>
      </c>
      <c r="U135" s="162" t="s">
        <v>15</v>
      </c>
      <c r="V135" s="162" t="s">
        <v>9</v>
      </c>
      <c r="W135" s="163" t="str">
        <f t="shared" si="187"/>
        <v>30%</v>
      </c>
      <c r="X135" s="162" t="s">
        <v>20</v>
      </c>
      <c r="Y135" s="162" t="s">
        <v>23</v>
      </c>
      <c r="Z135" s="162" t="s">
        <v>111</v>
      </c>
      <c r="AA135" s="142">
        <f>IFERROR(IF(T135="Probabilidad",(AA134-(+AA134*W135)),IF(T135="Impacto",L135,"")),"")</f>
        <v>0.20579999999999998</v>
      </c>
      <c r="AB135" s="152" t="str">
        <f t="shared" si="189"/>
        <v>Baja</v>
      </c>
      <c r="AC135" s="153">
        <f t="shared" si="190"/>
        <v>0.20579999999999998</v>
      </c>
      <c r="AD135" s="152" t="str">
        <f t="shared" si="191"/>
        <v>Moderado</v>
      </c>
      <c r="AE135" s="153">
        <v>0.6</v>
      </c>
      <c r="AF135" s="154" t="str">
        <f t="shared" si="193"/>
        <v>Moderado</v>
      </c>
      <c r="AG135" s="155" t="s">
        <v>122</v>
      </c>
      <c r="AH135" s="158" t="s">
        <v>479</v>
      </c>
      <c r="AI135" s="148" t="s">
        <v>212</v>
      </c>
      <c r="AJ135" s="149">
        <v>44562</v>
      </c>
      <c r="AK135" s="149" t="s">
        <v>373</v>
      </c>
      <c r="AL135" s="158" t="s">
        <v>478</v>
      </c>
      <c r="AM135" s="221" t="s">
        <v>770</v>
      </c>
      <c r="AN135" s="221" t="s">
        <v>771</v>
      </c>
      <c r="AO135" s="218">
        <v>1</v>
      </c>
      <c r="AP135" s="221" t="s">
        <v>761</v>
      </c>
      <c r="AQ135" s="216" t="s">
        <v>762</v>
      </c>
      <c r="AR135" s="218">
        <v>1</v>
      </c>
      <c r="AS135" s="95"/>
      <c r="AT135" s="232" t="s">
        <v>629</v>
      </c>
      <c r="AU135" s="137" t="s">
        <v>630</v>
      </c>
      <c r="AV135" s="137" t="s">
        <v>630</v>
      </c>
      <c r="AW135" s="137" t="s">
        <v>630</v>
      </c>
      <c r="AX135" s="95"/>
    </row>
    <row r="136" spans="1:50" s="147" customFormat="1" ht="151.5" customHeight="1" x14ac:dyDescent="0.25">
      <c r="A136" s="341">
        <v>44</v>
      </c>
      <c r="B136" s="374" t="s">
        <v>318</v>
      </c>
      <c r="C136" s="360" t="s">
        <v>319</v>
      </c>
      <c r="D136" s="360" t="s">
        <v>320</v>
      </c>
      <c r="E136" s="354" t="s">
        <v>120</v>
      </c>
      <c r="F136" s="354" t="s">
        <v>430</v>
      </c>
      <c r="G136" s="354" t="s">
        <v>432</v>
      </c>
      <c r="H136" s="357" t="s">
        <v>551</v>
      </c>
      <c r="I136" s="354" t="s">
        <v>115</v>
      </c>
      <c r="J136" s="351">
        <v>56</v>
      </c>
      <c r="K136" s="342" t="str">
        <f>IF(J136&lt;=0,"",IF(J136&lt;=2,"Muy Baja",IF(J136&lt;=24,"Baja",IF(J136&lt;=500,"Media",IF(J136&lt;=5000,"Alta","Muy Alta")))))</f>
        <v>Media</v>
      </c>
      <c r="L136" s="345">
        <f>IF(K136="","",IF(K136="Muy Baja",0.2,IF(K136="Baja",0.4,IF(K136="Media",0.6,IF(K136="Alta",0.8,IF(K136="Muy Alta",1,))))))</f>
        <v>0.6</v>
      </c>
      <c r="M136" s="369" t="s">
        <v>493</v>
      </c>
      <c r="N136" s="161" t="str">
        <f>IF(NOT(ISERROR(MATCH(M136,'Tabla Impacto'!$B$221:$B$223,0))),'Tabla Impacto'!$F$223&amp;"Por favor no seleccionar los criterios de impacto(Afectación Económica o presupuestal y Pérdida Reputacional)",M136)</f>
        <v xml:space="preserve"> El riesgo afecta la imagen de la entidad con efecto publicitario sostenido a nivel de sector administrativo, nivel departamental o municipal</v>
      </c>
      <c r="O136" s="368" t="str">
        <f>IF(OR(N136='Tabla Impacto'!$C$11,N136='Tabla Impacto'!$D$11),"Leve",IF(OR(N136='Tabla Impacto'!$C$12,N136='Tabla Impacto'!$D$12),"Menor",IF(OR(N136='Tabla Impacto'!$C$13,N136='Tabla Impacto'!$D$13),"Moderado",IF(OR(N136='Tabla Impacto'!$C$14,N136='Tabla Impacto'!$D$14),"Mayor",IF(OR(N136='Tabla Impacto'!$C$15,N136='Tabla Impacto'!$D$15),"Catastrófico","")))))</f>
        <v>Mayor</v>
      </c>
      <c r="P136" s="345">
        <f>IF(O136="","",IF(O136="Leve",0.2,IF(O136="Menor",0.4,IF(O136="Moderado",0.6,IF(O136="Mayor",0.8,IF(O136="Catastrófico",1,))))))</f>
        <v>0.8</v>
      </c>
      <c r="Q136" s="348" t="str">
        <f>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Alto</v>
      </c>
      <c r="R136" s="157">
        <v>1</v>
      </c>
      <c r="S136" s="158" t="s">
        <v>852</v>
      </c>
      <c r="T136" s="159" t="str">
        <f t="shared" si="186"/>
        <v>Probabilidad</v>
      </c>
      <c r="U136" s="162" t="s">
        <v>15</v>
      </c>
      <c r="V136" s="162" t="s">
        <v>9</v>
      </c>
      <c r="W136" s="163" t="str">
        <f t="shared" si="187"/>
        <v>30%</v>
      </c>
      <c r="X136" s="162" t="s">
        <v>20</v>
      </c>
      <c r="Y136" s="162" t="s">
        <v>23</v>
      </c>
      <c r="Z136" s="162" t="s">
        <v>111</v>
      </c>
      <c r="AA136" s="142">
        <f t="shared" si="188"/>
        <v>0.42</v>
      </c>
      <c r="AB136" s="152" t="str">
        <f t="shared" si="189"/>
        <v>Media</v>
      </c>
      <c r="AC136" s="153">
        <f t="shared" si="190"/>
        <v>0.42</v>
      </c>
      <c r="AD136" s="152" t="str">
        <f t="shared" si="191"/>
        <v>Mayor</v>
      </c>
      <c r="AE136" s="153">
        <f t="shared" si="192"/>
        <v>0.8</v>
      </c>
      <c r="AF136" s="154" t="str">
        <f t="shared" si="193"/>
        <v>Alto</v>
      </c>
      <c r="AG136" s="155" t="s">
        <v>122</v>
      </c>
      <c r="AH136" s="174" t="s">
        <v>480</v>
      </c>
      <c r="AI136" s="148" t="s">
        <v>198</v>
      </c>
      <c r="AJ136" s="149">
        <v>44562</v>
      </c>
      <c r="AK136" s="149" t="s">
        <v>373</v>
      </c>
      <c r="AL136" s="174" t="s">
        <v>481</v>
      </c>
      <c r="AM136" s="221" t="s">
        <v>763</v>
      </c>
      <c r="AN136" s="221" t="s">
        <v>763</v>
      </c>
      <c r="AO136" s="218">
        <v>1</v>
      </c>
      <c r="AP136" s="221" t="s">
        <v>774</v>
      </c>
      <c r="AQ136" s="221" t="s">
        <v>764</v>
      </c>
      <c r="AR136" s="218">
        <v>1</v>
      </c>
      <c r="AS136" s="95"/>
      <c r="AT136" s="232" t="s">
        <v>629</v>
      </c>
      <c r="AU136" s="137" t="s">
        <v>630</v>
      </c>
      <c r="AV136" s="137" t="s">
        <v>630</v>
      </c>
      <c r="AW136" s="137" t="s">
        <v>630</v>
      </c>
      <c r="AX136" s="95"/>
    </row>
    <row r="137" spans="1:50" s="147" customFormat="1" ht="151.5" customHeight="1" x14ac:dyDescent="0.25">
      <c r="A137" s="341"/>
      <c r="B137" s="375"/>
      <c r="C137" s="361"/>
      <c r="D137" s="361"/>
      <c r="E137" s="355"/>
      <c r="F137" s="355"/>
      <c r="G137" s="355"/>
      <c r="H137" s="358"/>
      <c r="I137" s="355"/>
      <c r="J137" s="352"/>
      <c r="K137" s="343"/>
      <c r="L137" s="346"/>
      <c r="M137" s="370"/>
      <c r="N137" s="167"/>
      <c r="O137" s="343"/>
      <c r="P137" s="346"/>
      <c r="Q137" s="349"/>
      <c r="R137" s="157">
        <v>2</v>
      </c>
      <c r="S137" s="158"/>
      <c r="T137" s="127"/>
      <c r="U137" s="128"/>
      <c r="V137" s="128"/>
      <c r="W137" s="129"/>
      <c r="X137" s="128"/>
      <c r="Y137" s="128"/>
      <c r="Z137" s="128"/>
      <c r="AA137" s="140"/>
      <c r="AB137" s="131"/>
      <c r="AC137" s="132"/>
      <c r="AD137" s="131"/>
      <c r="AE137" s="132"/>
      <c r="AF137" s="133"/>
      <c r="AG137" s="134"/>
      <c r="AH137" s="158" t="s">
        <v>326</v>
      </c>
      <c r="AI137" s="148" t="s">
        <v>203</v>
      </c>
      <c r="AJ137" s="149">
        <v>44562</v>
      </c>
      <c r="AK137" s="149" t="s">
        <v>373</v>
      </c>
      <c r="AL137" s="174" t="s">
        <v>481</v>
      </c>
      <c r="AM137" s="216" t="s">
        <v>630</v>
      </c>
      <c r="AN137" s="221"/>
      <c r="AO137" s="215" t="s">
        <v>630</v>
      </c>
      <c r="AP137" s="221" t="s">
        <v>765</v>
      </c>
      <c r="AQ137" s="216" t="s">
        <v>630</v>
      </c>
      <c r="AR137" s="137" t="s">
        <v>630</v>
      </c>
      <c r="AS137" s="95"/>
      <c r="AT137" s="232" t="s">
        <v>629</v>
      </c>
      <c r="AU137" s="137" t="s">
        <v>630</v>
      </c>
      <c r="AV137" s="137" t="s">
        <v>630</v>
      </c>
      <c r="AW137" s="137" t="s">
        <v>630</v>
      </c>
      <c r="AX137" s="95"/>
    </row>
    <row r="138" spans="1:50" s="147" customFormat="1" ht="151.5" customHeight="1" x14ac:dyDescent="0.25">
      <c r="A138" s="341"/>
      <c r="B138" s="376"/>
      <c r="C138" s="361"/>
      <c r="D138" s="361"/>
      <c r="E138" s="355"/>
      <c r="F138" s="355"/>
      <c r="G138" s="355"/>
      <c r="H138" s="358"/>
      <c r="I138" s="355"/>
      <c r="J138" s="352"/>
      <c r="K138" s="344"/>
      <c r="L138" s="347"/>
      <c r="M138" s="370"/>
      <c r="N138" s="167"/>
      <c r="O138" s="344"/>
      <c r="P138" s="347"/>
      <c r="Q138" s="350"/>
      <c r="R138" s="157">
        <v>3</v>
      </c>
      <c r="S138" s="158"/>
      <c r="T138" s="127"/>
      <c r="U138" s="128"/>
      <c r="V138" s="128"/>
      <c r="W138" s="129"/>
      <c r="X138" s="128"/>
      <c r="Y138" s="128"/>
      <c r="Z138" s="128"/>
      <c r="AA138" s="140"/>
      <c r="AB138" s="131"/>
      <c r="AC138" s="132"/>
      <c r="AD138" s="131"/>
      <c r="AE138" s="132"/>
      <c r="AF138" s="133"/>
      <c r="AG138" s="134"/>
      <c r="AH138" s="174" t="s">
        <v>510</v>
      </c>
      <c r="AI138" s="148" t="s">
        <v>203</v>
      </c>
      <c r="AJ138" s="149">
        <v>44562</v>
      </c>
      <c r="AK138" s="149" t="s">
        <v>373</v>
      </c>
      <c r="AL138" s="174" t="s">
        <v>481</v>
      </c>
      <c r="AM138" s="221" t="s">
        <v>630</v>
      </c>
      <c r="AN138" s="216"/>
      <c r="AO138" s="215" t="s">
        <v>630</v>
      </c>
      <c r="AP138" s="221" t="s">
        <v>755</v>
      </c>
      <c r="AQ138" s="216" t="s">
        <v>772</v>
      </c>
      <c r="AR138" s="218">
        <v>1</v>
      </c>
      <c r="AS138" s="95"/>
      <c r="AT138" s="232" t="s">
        <v>629</v>
      </c>
      <c r="AU138" s="137" t="s">
        <v>630</v>
      </c>
      <c r="AV138" s="137" t="s">
        <v>630</v>
      </c>
      <c r="AW138" s="137" t="s">
        <v>630</v>
      </c>
      <c r="AX138" s="95"/>
    </row>
    <row r="139" spans="1:50" s="147" customFormat="1" ht="188.25" customHeight="1" x14ac:dyDescent="0.25">
      <c r="A139" s="341">
        <v>45</v>
      </c>
      <c r="B139" s="338" t="s">
        <v>572</v>
      </c>
      <c r="C139" s="338" t="s">
        <v>571</v>
      </c>
      <c r="D139" s="338" t="s">
        <v>573</v>
      </c>
      <c r="E139" s="354" t="s">
        <v>118</v>
      </c>
      <c r="F139" s="354" t="s">
        <v>577</v>
      </c>
      <c r="G139" s="354" t="s">
        <v>576</v>
      </c>
      <c r="H139" s="357" t="s">
        <v>568</v>
      </c>
      <c r="I139" s="354" t="s">
        <v>115</v>
      </c>
      <c r="J139" s="351">
        <v>10</v>
      </c>
      <c r="K139" s="342" t="str">
        <f>IF(J139&lt;=0,"",IF(J139&lt;=2,"Muy Baja",IF(J139&lt;=24,"Baja",IF(J139&lt;=500,"Media",IF(J139&lt;=5000,"Alta","Muy Alta")))))</f>
        <v>Baja</v>
      </c>
      <c r="L139" s="345">
        <f>IF(K139="","",IF(K139="Muy Baja",0.2,IF(K139="Baja",0.4,IF(K139="Media",0.6,IF(K139="Alta",0.8,IF(K139="Muy Alta",1,))))))</f>
        <v>0.4</v>
      </c>
      <c r="M139" s="369" t="s">
        <v>493</v>
      </c>
      <c r="N139" s="161" t="str">
        <f>IF(NOT(ISERROR(MATCH(M139,'Tabla Impacto'!$B$221:$B$223,0))),'Tabla Impacto'!$F$223&amp;"Por favor no seleccionar los criterios de impacto(Afectación Económica o presupuestal y Pérdida Reputacional)",M139)</f>
        <v xml:space="preserve"> El riesgo afecta la imagen de la entidad con efecto publicitario sostenido a nivel de sector administrativo, nivel departamental o municipal</v>
      </c>
      <c r="O139" s="342" t="str">
        <f>IF(OR(N139='Tabla Impacto'!$C$11,N139='Tabla Impacto'!$D$11),"Leve",IF(OR(N139='Tabla Impacto'!$C$12,N139='Tabla Impacto'!$D$12),"Menor",IF(OR(N139='Tabla Impacto'!$C$13,N139='Tabla Impacto'!$D$13),"Moderado",IF(OR(N139='Tabla Impacto'!$C$14,N139='Tabla Impacto'!$D$14),"Mayor",IF(OR(N139='Tabla Impacto'!$C$15,N139='Tabla Impacto'!$D$15),"Catastrófico","")))))</f>
        <v>Mayor</v>
      </c>
      <c r="P139" s="345">
        <f>IF(O139="","",IF(O139="Leve",0.2,IF(O139="Menor",0.4,IF(O139="Moderado",0.6,IF(O139="Mayor",0.8,IF(O139="Catastrófico",1,))))))</f>
        <v>0.8</v>
      </c>
      <c r="Q139" s="348" t="str">
        <f>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Alto</v>
      </c>
      <c r="R139" s="157">
        <v>1</v>
      </c>
      <c r="S139" s="158" t="s">
        <v>593</v>
      </c>
      <c r="T139" s="210" t="str">
        <f t="shared" si="186"/>
        <v>Probabilidad</v>
      </c>
      <c r="U139" s="162" t="s">
        <v>14</v>
      </c>
      <c r="V139" s="162" t="s">
        <v>9</v>
      </c>
      <c r="W139" s="163" t="str">
        <f t="shared" si="187"/>
        <v>40%</v>
      </c>
      <c r="X139" s="162" t="s">
        <v>19</v>
      </c>
      <c r="Y139" s="162" t="s">
        <v>22</v>
      </c>
      <c r="Z139" s="162" t="s">
        <v>110</v>
      </c>
      <c r="AA139" s="142">
        <f t="shared" si="188"/>
        <v>0.24</v>
      </c>
      <c r="AB139" s="152" t="str">
        <f t="shared" si="189"/>
        <v>Baja</v>
      </c>
      <c r="AC139" s="153">
        <f t="shared" si="190"/>
        <v>0.24</v>
      </c>
      <c r="AD139" s="152" t="str">
        <f t="shared" si="191"/>
        <v>Mayor</v>
      </c>
      <c r="AE139" s="153">
        <f t="shared" si="192"/>
        <v>0.8</v>
      </c>
      <c r="AF139" s="154" t="str">
        <f t="shared" si="193"/>
        <v>Alto</v>
      </c>
      <c r="AG139" s="155" t="s">
        <v>122</v>
      </c>
      <c r="AH139" s="150" t="s">
        <v>594</v>
      </c>
      <c r="AI139" s="148" t="s">
        <v>260</v>
      </c>
      <c r="AJ139" s="149" t="s">
        <v>286</v>
      </c>
      <c r="AK139" s="149" t="s">
        <v>287</v>
      </c>
      <c r="AL139" s="150" t="s">
        <v>578</v>
      </c>
      <c r="AM139" s="95" t="s">
        <v>853</v>
      </c>
      <c r="AN139" s="95" t="s">
        <v>797</v>
      </c>
      <c r="AO139" s="215">
        <v>1</v>
      </c>
      <c r="AP139" s="95" t="s">
        <v>854</v>
      </c>
      <c r="AQ139" s="95" t="s">
        <v>803</v>
      </c>
      <c r="AR139" s="218">
        <v>1</v>
      </c>
      <c r="AS139" s="95"/>
      <c r="AT139" s="232" t="s">
        <v>629</v>
      </c>
      <c r="AU139" s="137" t="s">
        <v>630</v>
      </c>
      <c r="AV139" s="137" t="s">
        <v>630</v>
      </c>
      <c r="AW139" s="137" t="s">
        <v>630</v>
      </c>
      <c r="AX139" s="95"/>
    </row>
    <row r="140" spans="1:50" s="147" customFormat="1" ht="151.5" hidden="1" customHeight="1" x14ac:dyDescent="0.25">
      <c r="A140" s="341"/>
      <c r="B140" s="339"/>
      <c r="C140" s="339"/>
      <c r="D140" s="339"/>
      <c r="E140" s="355"/>
      <c r="F140" s="355"/>
      <c r="G140" s="355"/>
      <c r="H140" s="358"/>
      <c r="I140" s="355"/>
      <c r="J140" s="352"/>
      <c r="K140" s="343"/>
      <c r="L140" s="346"/>
      <c r="M140" s="370"/>
      <c r="N140" s="167"/>
      <c r="O140" s="343"/>
      <c r="P140" s="346"/>
      <c r="Q140" s="349"/>
      <c r="R140" s="157">
        <v>2</v>
      </c>
      <c r="S140" s="158"/>
      <c r="T140" s="159" t="str">
        <f t="shared" si="186"/>
        <v/>
      </c>
      <c r="U140" s="162"/>
      <c r="V140" s="162"/>
      <c r="W140" s="163" t="str">
        <f t="shared" si="187"/>
        <v/>
      </c>
      <c r="X140" s="162"/>
      <c r="Y140" s="162"/>
      <c r="Z140" s="162"/>
      <c r="AA140" s="142" t="str">
        <f t="shared" si="188"/>
        <v/>
      </c>
      <c r="AB140" s="152" t="str">
        <f t="shared" si="189"/>
        <v/>
      </c>
      <c r="AC140" s="153" t="str">
        <f t="shared" si="190"/>
        <v/>
      </c>
      <c r="AD140" s="152" t="str">
        <f t="shared" si="191"/>
        <v/>
      </c>
      <c r="AE140" s="153" t="str">
        <f t="shared" si="192"/>
        <v/>
      </c>
      <c r="AF140" s="154" t="str">
        <f t="shared" si="193"/>
        <v/>
      </c>
      <c r="AG140" s="155"/>
      <c r="AH140" s="150"/>
      <c r="AI140" s="148"/>
      <c r="AJ140" s="149"/>
      <c r="AK140" s="149"/>
      <c r="AL140" s="150"/>
      <c r="AM140" s="95"/>
      <c r="AN140" s="95"/>
      <c r="AO140" s="137"/>
      <c r="AP140" s="95"/>
      <c r="AQ140" s="95"/>
      <c r="AR140" s="137"/>
      <c r="AS140" s="95"/>
      <c r="AT140" s="232" t="s">
        <v>629</v>
      </c>
      <c r="AU140" s="137" t="s">
        <v>630</v>
      </c>
      <c r="AV140" s="137" t="s">
        <v>630</v>
      </c>
      <c r="AW140" s="137" t="s">
        <v>630</v>
      </c>
      <c r="AX140" s="95"/>
    </row>
    <row r="141" spans="1:50" s="147" customFormat="1" ht="151.5" hidden="1" customHeight="1" x14ac:dyDescent="0.25">
      <c r="A141" s="341"/>
      <c r="B141" s="340"/>
      <c r="C141" s="340"/>
      <c r="D141" s="340"/>
      <c r="E141" s="356"/>
      <c r="F141" s="356"/>
      <c r="G141" s="356"/>
      <c r="H141" s="359"/>
      <c r="I141" s="356"/>
      <c r="J141" s="353"/>
      <c r="K141" s="344"/>
      <c r="L141" s="347"/>
      <c r="M141" s="371"/>
      <c r="N141" s="167"/>
      <c r="O141" s="344"/>
      <c r="P141" s="347"/>
      <c r="Q141" s="350"/>
      <c r="R141" s="157">
        <v>3</v>
      </c>
      <c r="S141" s="158"/>
      <c r="T141" s="159" t="str">
        <f t="shared" si="186"/>
        <v/>
      </c>
      <c r="U141" s="162"/>
      <c r="V141" s="162"/>
      <c r="W141" s="163" t="str">
        <f t="shared" si="187"/>
        <v/>
      </c>
      <c r="X141" s="162"/>
      <c r="Y141" s="162"/>
      <c r="Z141" s="162"/>
      <c r="AA141" s="142" t="str">
        <f t="shared" si="188"/>
        <v/>
      </c>
      <c r="AB141" s="152" t="str">
        <f t="shared" si="189"/>
        <v/>
      </c>
      <c r="AC141" s="153" t="str">
        <f t="shared" si="190"/>
        <v/>
      </c>
      <c r="AD141" s="152" t="str">
        <f t="shared" si="191"/>
        <v/>
      </c>
      <c r="AE141" s="153" t="str">
        <f t="shared" si="192"/>
        <v/>
      </c>
      <c r="AF141" s="154" t="str">
        <f t="shared" si="193"/>
        <v/>
      </c>
      <c r="AG141" s="155"/>
      <c r="AH141" s="150"/>
      <c r="AI141" s="148"/>
      <c r="AJ141" s="149"/>
      <c r="AK141" s="149"/>
      <c r="AL141" s="150"/>
      <c r="AM141" s="95"/>
      <c r="AN141" s="95"/>
      <c r="AO141" s="137"/>
      <c r="AP141" s="95"/>
      <c r="AQ141" s="95"/>
      <c r="AR141" s="137"/>
      <c r="AS141" s="95"/>
      <c r="AT141" s="232" t="s">
        <v>629</v>
      </c>
      <c r="AU141" s="137" t="s">
        <v>630</v>
      </c>
      <c r="AV141" s="137" t="s">
        <v>630</v>
      </c>
      <c r="AW141" s="137" t="s">
        <v>630</v>
      </c>
      <c r="AX141" s="95"/>
    </row>
    <row r="142" spans="1:50" s="147" customFormat="1" ht="151.5" customHeight="1" x14ac:dyDescent="0.25">
      <c r="A142" s="341">
        <v>46</v>
      </c>
      <c r="B142" s="338" t="s">
        <v>572</v>
      </c>
      <c r="C142" s="338" t="s">
        <v>571</v>
      </c>
      <c r="D142" s="338" t="s">
        <v>573</v>
      </c>
      <c r="E142" s="354" t="s">
        <v>118</v>
      </c>
      <c r="F142" s="354" t="s">
        <v>574</v>
      </c>
      <c r="G142" s="354" t="s">
        <v>575</v>
      </c>
      <c r="H142" s="357" t="s">
        <v>569</v>
      </c>
      <c r="I142" s="354" t="s">
        <v>328</v>
      </c>
      <c r="J142" s="351">
        <v>20</v>
      </c>
      <c r="K142" s="342" t="str">
        <f>IF(J142&lt;=0,"",IF(J142&lt;=2,"Muy Baja",IF(J142&lt;=24,"Baja",IF(J142&lt;=500,"Media",IF(J142&lt;=5000,"Alta","Muy Alta")))))</f>
        <v>Baja</v>
      </c>
      <c r="L142" s="345">
        <f>IF(K142="","",IF(K142="Muy Baja",0.2,IF(K142="Baja",0.4,IF(K142="Media",0.6,IF(K142="Alta",0.8,IF(K142="Muy Alta",1,))))))</f>
        <v>0.4</v>
      </c>
      <c r="M142" s="369" t="s">
        <v>486</v>
      </c>
      <c r="N142" s="161" t="str">
        <f>IF(NOT(ISERROR(MATCH(M142,'Tabla Impacto'!$B$221:$B$223,0))),'Tabla Impacto'!$F$223&amp;"Por favor no seleccionar los criterios de impacto(Afectación Económica o presupuestal y Pérdida Reputacional)",M142)</f>
        <v xml:space="preserve"> El riesgo afecta la imagen de la entidad con algunos usuarios de relevancia frente al logro de los objetivos</v>
      </c>
      <c r="O142" s="342" t="str">
        <f>IF(OR(N142='Tabla Impacto'!$C$11,N142='Tabla Impacto'!$D$11),"Leve",IF(OR(N142='Tabla Impacto'!$C$12,N142='Tabla Impacto'!$D$12),"Menor",IF(OR(N142='Tabla Impacto'!$C$13,N142='Tabla Impacto'!$D$13),"Moderado",IF(OR(N142='Tabla Impacto'!$C$14,N142='Tabla Impacto'!$D$14),"Mayor",IF(OR(N142='Tabla Impacto'!$C$15,N142='Tabla Impacto'!$D$15),"Catastrófico","")))))</f>
        <v>Moderado</v>
      </c>
      <c r="P142" s="345">
        <f>IF(O142="","",IF(O142="Leve",0.2,IF(O142="Menor",0.4,IF(O142="Moderado",0.6,IF(O142="Mayor",0.8,IF(O142="Catastrófico",1,))))))</f>
        <v>0.6</v>
      </c>
      <c r="Q142" s="348" t="str">
        <f>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Moderado</v>
      </c>
      <c r="R142" s="157">
        <v>1</v>
      </c>
      <c r="S142" s="158" t="s">
        <v>579</v>
      </c>
      <c r="T142" s="210" t="str">
        <f t="shared" si="186"/>
        <v>Probabilidad</v>
      </c>
      <c r="U142" s="162" t="s">
        <v>15</v>
      </c>
      <c r="V142" s="162" t="s">
        <v>9</v>
      </c>
      <c r="W142" s="163" t="str">
        <f t="shared" si="187"/>
        <v>30%</v>
      </c>
      <c r="X142" s="162" t="s">
        <v>19</v>
      </c>
      <c r="Y142" s="162" t="s">
        <v>22</v>
      </c>
      <c r="Z142" s="162" t="s">
        <v>110</v>
      </c>
      <c r="AA142" s="142">
        <f t="shared" si="188"/>
        <v>0.28000000000000003</v>
      </c>
      <c r="AB142" s="152" t="str">
        <f t="shared" si="189"/>
        <v>Baja</v>
      </c>
      <c r="AC142" s="153">
        <f t="shared" si="190"/>
        <v>0.28000000000000003</v>
      </c>
      <c r="AD142" s="152" t="str">
        <f t="shared" si="191"/>
        <v>Moderado</v>
      </c>
      <c r="AE142" s="153">
        <f t="shared" si="192"/>
        <v>0.6</v>
      </c>
      <c r="AF142" s="154" t="str">
        <f t="shared" si="193"/>
        <v>Moderado</v>
      </c>
      <c r="AG142" s="155" t="s">
        <v>122</v>
      </c>
      <c r="AH142" s="150" t="s">
        <v>570</v>
      </c>
      <c r="AI142" s="148" t="s">
        <v>260</v>
      </c>
      <c r="AJ142" s="149" t="s">
        <v>286</v>
      </c>
      <c r="AK142" s="149" t="s">
        <v>287</v>
      </c>
      <c r="AL142" s="150" t="s">
        <v>598</v>
      </c>
      <c r="AM142" s="95" t="s">
        <v>855</v>
      </c>
      <c r="AN142" s="95" t="s">
        <v>798</v>
      </c>
      <c r="AO142" s="218">
        <v>1</v>
      </c>
      <c r="AP142" s="95" t="s">
        <v>856</v>
      </c>
      <c r="AQ142" s="95" t="s">
        <v>802</v>
      </c>
      <c r="AR142" s="218">
        <v>1</v>
      </c>
      <c r="AS142" s="95"/>
      <c r="AT142" s="232" t="s">
        <v>629</v>
      </c>
      <c r="AU142" s="137" t="s">
        <v>630</v>
      </c>
      <c r="AV142" s="137" t="s">
        <v>630</v>
      </c>
      <c r="AW142" s="137" t="s">
        <v>630</v>
      </c>
      <c r="AX142" s="95"/>
    </row>
    <row r="143" spans="1:50" s="147" customFormat="1" ht="151.5" hidden="1" customHeight="1" x14ac:dyDescent="0.25">
      <c r="A143" s="341"/>
      <c r="B143" s="339"/>
      <c r="C143" s="339"/>
      <c r="D143" s="339"/>
      <c r="E143" s="355"/>
      <c r="F143" s="355"/>
      <c r="G143" s="355"/>
      <c r="H143" s="358"/>
      <c r="I143" s="355"/>
      <c r="J143" s="352"/>
      <c r="K143" s="343"/>
      <c r="L143" s="346"/>
      <c r="M143" s="370"/>
      <c r="N143" s="167"/>
      <c r="O143" s="343"/>
      <c r="P143" s="346"/>
      <c r="Q143" s="349"/>
      <c r="R143" s="157">
        <v>2</v>
      </c>
      <c r="S143" s="158"/>
      <c r="T143" s="159" t="str">
        <f t="shared" si="186"/>
        <v/>
      </c>
      <c r="U143" s="162"/>
      <c r="V143" s="162"/>
      <c r="W143" s="163" t="str">
        <f t="shared" si="187"/>
        <v/>
      </c>
      <c r="X143" s="162"/>
      <c r="Y143" s="162"/>
      <c r="Z143" s="162"/>
      <c r="AA143" s="142" t="str">
        <f t="shared" si="188"/>
        <v/>
      </c>
      <c r="AB143" s="152" t="str">
        <f t="shared" si="189"/>
        <v/>
      </c>
      <c r="AC143" s="153" t="str">
        <f t="shared" si="190"/>
        <v/>
      </c>
      <c r="AD143" s="152" t="str">
        <f t="shared" si="191"/>
        <v/>
      </c>
      <c r="AE143" s="153" t="str">
        <f t="shared" si="192"/>
        <v/>
      </c>
      <c r="AF143" s="154" t="str">
        <f t="shared" si="193"/>
        <v/>
      </c>
      <c r="AG143" s="155"/>
      <c r="AH143" s="150"/>
      <c r="AI143" s="148"/>
      <c r="AJ143" s="149"/>
      <c r="AK143" s="149"/>
      <c r="AL143" s="150"/>
      <c r="AM143" s="95"/>
      <c r="AN143" s="95"/>
      <c r="AO143" s="137"/>
      <c r="AP143" s="95"/>
      <c r="AQ143" s="95"/>
      <c r="AR143" s="137"/>
      <c r="AS143" s="95"/>
      <c r="AT143" s="232" t="s">
        <v>629</v>
      </c>
      <c r="AU143" s="137" t="s">
        <v>630</v>
      </c>
      <c r="AV143" s="137" t="s">
        <v>630</v>
      </c>
      <c r="AW143" s="137" t="s">
        <v>630</v>
      </c>
      <c r="AX143" s="95"/>
    </row>
    <row r="144" spans="1:50" s="147" customFormat="1" ht="151.5" hidden="1" customHeight="1" x14ac:dyDescent="0.25">
      <c r="A144" s="341"/>
      <c r="B144" s="340"/>
      <c r="C144" s="340"/>
      <c r="D144" s="340"/>
      <c r="E144" s="356"/>
      <c r="F144" s="356"/>
      <c r="G144" s="356"/>
      <c r="H144" s="359"/>
      <c r="I144" s="356"/>
      <c r="J144" s="353"/>
      <c r="K144" s="344"/>
      <c r="L144" s="347"/>
      <c r="M144" s="371"/>
      <c r="N144" s="167"/>
      <c r="O144" s="344"/>
      <c r="P144" s="347"/>
      <c r="Q144" s="350"/>
      <c r="R144" s="157">
        <v>3</v>
      </c>
      <c r="S144" s="158"/>
      <c r="T144" s="159" t="str">
        <f t="shared" si="186"/>
        <v/>
      </c>
      <c r="U144" s="162"/>
      <c r="V144" s="162"/>
      <c r="W144" s="163" t="str">
        <f t="shared" si="187"/>
        <v/>
      </c>
      <c r="X144" s="162"/>
      <c r="Y144" s="162"/>
      <c r="Z144" s="162"/>
      <c r="AA144" s="142" t="str">
        <f t="shared" si="188"/>
        <v/>
      </c>
      <c r="AB144" s="152" t="str">
        <f t="shared" si="189"/>
        <v/>
      </c>
      <c r="AC144" s="153" t="str">
        <f t="shared" si="190"/>
        <v/>
      </c>
      <c r="AD144" s="152" t="str">
        <f t="shared" si="191"/>
        <v/>
      </c>
      <c r="AE144" s="153" t="str">
        <f t="shared" si="192"/>
        <v/>
      </c>
      <c r="AF144" s="154" t="str">
        <f t="shared" si="193"/>
        <v/>
      </c>
      <c r="AG144" s="155"/>
      <c r="AH144" s="150"/>
      <c r="AI144" s="148"/>
      <c r="AJ144" s="149"/>
      <c r="AK144" s="149"/>
      <c r="AL144" s="150"/>
      <c r="AM144" s="95"/>
      <c r="AN144" s="95"/>
      <c r="AO144" s="137"/>
      <c r="AP144" s="95"/>
      <c r="AQ144" s="95"/>
      <c r="AR144" s="137"/>
      <c r="AS144" s="95"/>
      <c r="AT144" s="232" t="s">
        <v>629</v>
      </c>
      <c r="AU144" s="137" t="s">
        <v>630</v>
      </c>
      <c r="AV144" s="137" t="s">
        <v>630</v>
      </c>
      <c r="AW144" s="137" t="s">
        <v>630</v>
      </c>
      <c r="AX144" s="95"/>
    </row>
    <row r="145" spans="1:50" s="147" customFormat="1" ht="151.5" customHeight="1" x14ac:dyDescent="0.25">
      <c r="A145" s="341">
        <v>47</v>
      </c>
      <c r="B145" s="338" t="s">
        <v>599</v>
      </c>
      <c r="C145" s="338" t="s">
        <v>600</v>
      </c>
      <c r="D145" s="338" t="s">
        <v>601</v>
      </c>
      <c r="E145" s="354" t="s">
        <v>118</v>
      </c>
      <c r="F145" s="354" t="s">
        <v>602</v>
      </c>
      <c r="G145" s="354" t="s">
        <v>603</v>
      </c>
      <c r="H145" s="357" t="s">
        <v>604</v>
      </c>
      <c r="I145" s="354" t="s">
        <v>328</v>
      </c>
      <c r="J145" s="351">
        <v>12</v>
      </c>
      <c r="K145" s="342" t="str">
        <f>IF(J145&lt;=0,"",IF(J145&lt;=2,"Muy Baja",IF(J145&lt;=24,"Baja",IF(J145&lt;=500,"Media",IF(J145&lt;=5000,"Alta","Muy Alta")))))</f>
        <v>Baja</v>
      </c>
      <c r="L145" s="345">
        <f>IF(K145="","",IF(K145="Muy Baja",0.2,IF(K145="Baja",0.4,IF(K145="Media",0.6,IF(K145="Alta",0.8,IF(K145="Muy Alta",1,))))))</f>
        <v>0.4</v>
      </c>
      <c r="M145" s="369" t="s">
        <v>486</v>
      </c>
      <c r="N145" s="161" t="str">
        <f>IF(NOT(ISERROR(MATCH(M145,'Tabla Impacto'!$B$221:$B$223,0))),'Tabla Impacto'!$F$223&amp;"Por favor no seleccionar los criterios de impacto(Afectación Económica o presupuestal y Pérdida Reputacional)",M145)</f>
        <v xml:space="preserve"> El riesgo afecta la imagen de la entidad con algunos usuarios de relevancia frente al logro de los objetivos</v>
      </c>
      <c r="O145" s="342" t="str">
        <f>IF(OR(N145='Tabla Impacto'!$C$11,N145='Tabla Impacto'!$D$11),"Leve",IF(OR(N145='Tabla Impacto'!$C$12,N145='Tabla Impacto'!$D$12),"Menor",IF(OR(N145='Tabla Impacto'!$C$13,N145='Tabla Impacto'!$D$13),"Moderado",IF(OR(N145='Tabla Impacto'!$C$14,N145='Tabla Impacto'!$D$14),"Mayor",IF(OR(N145='Tabla Impacto'!$C$15,N145='Tabla Impacto'!$D$15),"Catastrófico","")))))</f>
        <v>Moderado</v>
      </c>
      <c r="P145" s="345">
        <f>IF(O145="","",IF(O145="Leve",0.2,IF(O145="Menor",0.4,IF(O145="Moderado",0.6,IF(O145="Mayor",0.8,IF(O145="Catastrófico",1,))))))</f>
        <v>0.6</v>
      </c>
      <c r="Q145" s="348" t="str">
        <f>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Moderado</v>
      </c>
      <c r="R145" s="157">
        <v>1</v>
      </c>
      <c r="S145" s="158" t="s">
        <v>608</v>
      </c>
      <c r="T145" s="159" t="str">
        <f t="shared" si="186"/>
        <v/>
      </c>
      <c r="U145" s="162"/>
      <c r="V145" s="162"/>
      <c r="W145" s="163" t="str">
        <f t="shared" si="187"/>
        <v/>
      </c>
      <c r="X145" s="162"/>
      <c r="Y145" s="162"/>
      <c r="Z145" s="162"/>
      <c r="AA145" s="142" t="str">
        <f t="shared" si="188"/>
        <v/>
      </c>
      <c r="AB145" s="152" t="str">
        <f t="shared" si="189"/>
        <v/>
      </c>
      <c r="AC145" s="153" t="str">
        <f t="shared" si="190"/>
        <v/>
      </c>
      <c r="AD145" s="152" t="str">
        <f t="shared" si="191"/>
        <v/>
      </c>
      <c r="AE145" s="153" t="str">
        <f t="shared" si="192"/>
        <v/>
      </c>
      <c r="AF145" s="154" t="str">
        <f t="shared" si="193"/>
        <v/>
      </c>
      <c r="AG145" s="155"/>
      <c r="AH145" s="150" t="s">
        <v>605</v>
      </c>
      <c r="AI145" s="148" t="s">
        <v>212</v>
      </c>
      <c r="AJ145" s="149" t="s">
        <v>286</v>
      </c>
      <c r="AK145" s="149" t="s">
        <v>287</v>
      </c>
      <c r="AL145" s="150" t="s">
        <v>607</v>
      </c>
      <c r="AM145" s="95" t="s">
        <v>637</v>
      </c>
      <c r="AN145" s="95" t="s">
        <v>638</v>
      </c>
      <c r="AO145" s="218" t="s">
        <v>630</v>
      </c>
      <c r="AP145" s="95" t="s">
        <v>637</v>
      </c>
      <c r="AQ145" s="95" t="s">
        <v>638</v>
      </c>
      <c r="AR145" s="218" t="s">
        <v>630</v>
      </c>
      <c r="AS145" s="137"/>
      <c r="AT145" s="232" t="s">
        <v>629</v>
      </c>
      <c r="AU145" s="137" t="s">
        <v>630</v>
      </c>
      <c r="AV145" s="137" t="s">
        <v>630</v>
      </c>
      <c r="AW145" s="137" t="s">
        <v>630</v>
      </c>
      <c r="AX145" s="95"/>
    </row>
    <row r="146" spans="1:50" s="147" customFormat="1" ht="151.5" hidden="1" customHeight="1" x14ac:dyDescent="0.25">
      <c r="A146" s="341"/>
      <c r="B146" s="339"/>
      <c r="C146" s="339"/>
      <c r="D146" s="339"/>
      <c r="E146" s="355"/>
      <c r="F146" s="355"/>
      <c r="G146" s="355"/>
      <c r="H146" s="358"/>
      <c r="I146" s="355"/>
      <c r="J146" s="352"/>
      <c r="K146" s="343"/>
      <c r="L146" s="346"/>
      <c r="M146" s="370"/>
      <c r="N146" s="167"/>
      <c r="O146" s="343"/>
      <c r="P146" s="346"/>
      <c r="Q146" s="349"/>
      <c r="R146" s="157">
        <v>2</v>
      </c>
      <c r="S146" s="158"/>
      <c r="T146" s="159" t="str">
        <f t="shared" si="186"/>
        <v/>
      </c>
      <c r="U146" s="162"/>
      <c r="V146" s="162"/>
      <c r="W146" s="163" t="str">
        <f t="shared" si="187"/>
        <v/>
      </c>
      <c r="X146" s="162"/>
      <c r="Y146" s="162"/>
      <c r="Z146" s="162"/>
      <c r="AA146" s="142" t="str">
        <f t="shared" si="188"/>
        <v/>
      </c>
      <c r="AB146" s="152" t="str">
        <f t="shared" si="189"/>
        <v/>
      </c>
      <c r="AC146" s="153" t="str">
        <f t="shared" si="190"/>
        <v/>
      </c>
      <c r="AD146" s="152" t="str">
        <f t="shared" si="191"/>
        <v/>
      </c>
      <c r="AE146" s="153" t="str">
        <f t="shared" si="192"/>
        <v/>
      </c>
      <c r="AF146" s="154" t="str">
        <f t="shared" si="193"/>
        <v/>
      </c>
      <c r="AG146" s="155"/>
      <c r="AH146" s="150"/>
      <c r="AI146" s="148"/>
      <c r="AJ146" s="149"/>
      <c r="AK146" s="149"/>
      <c r="AL146" s="150"/>
      <c r="AM146" s="95"/>
      <c r="AN146" s="95"/>
      <c r="AO146" s="137"/>
      <c r="AP146" s="95"/>
      <c r="AQ146" s="95"/>
      <c r="AR146" s="137"/>
      <c r="AS146" s="95"/>
      <c r="AT146" s="95"/>
      <c r="AU146" s="95"/>
      <c r="AV146" s="95"/>
      <c r="AW146" s="95"/>
      <c r="AX146" s="95"/>
    </row>
    <row r="147" spans="1:50" s="147" customFormat="1" ht="151.5" hidden="1" customHeight="1" x14ac:dyDescent="0.25">
      <c r="A147" s="341"/>
      <c r="B147" s="340"/>
      <c r="C147" s="340"/>
      <c r="D147" s="340"/>
      <c r="E147" s="356"/>
      <c r="F147" s="356"/>
      <c r="G147" s="356"/>
      <c r="H147" s="359"/>
      <c r="I147" s="356"/>
      <c r="J147" s="353"/>
      <c r="K147" s="344"/>
      <c r="L147" s="347"/>
      <c r="M147" s="371"/>
      <c r="N147" s="167"/>
      <c r="O147" s="344"/>
      <c r="P147" s="347"/>
      <c r="Q147" s="350"/>
      <c r="R147" s="157">
        <v>3</v>
      </c>
      <c r="S147" s="158"/>
      <c r="T147" s="159" t="str">
        <f t="shared" si="186"/>
        <v/>
      </c>
      <c r="U147" s="162"/>
      <c r="V147" s="162"/>
      <c r="W147" s="163" t="str">
        <f t="shared" si="187"/>
        <v/>
      </c>
      <c r="X147" s="162"/>
      <c r="Y147" s="162"/>
      <c r="Z147" s="162"/>
      <c r="AA147" s="142" t="str">
        <f t="shared" si="188"/>
        <v/>
      </c>
      <c r="AB147" s="152" t="str">
        <f t="shared" si="189"/>
        <v/>
      </c>
      <c r="AC147" s="153" t="str">
        <f t="shared" si="190"/>
        <v/>
      </c>
      <c r="AD147" s="152" t="str">
        <f t="shared" si="191"/>
        <v/>
      </c>
      <c r="AE147" s="153" t="str">
        <f t="shared" si="192"/>
        <v/>
      </c>
      <c r="AF147" s="154" t="str">
        <f t="shared" si="193"/>
        <v/>
      </c>
      <c r="AG147" s="155"/>
      <c r="AH147" s="150"/>
      <c r="AI147" s="148"/>
      <c r="AJ147" s="149"/>
      <c r="AK147" s="149"/>
      <c r="AL147" s="150"/>
      <c r="AM147" s="95"/>
      <c r="AN147" s="95"/>
      <c r="AO147" s="137"/>
      <c r="AP147" s="95"/>
      <c r="AQ147" s="95"/>
      <c r="AR147" s="137"/>
      <c r="AS147" s="95"/>
      <c r="AT147" s="95"/>
      <c r="AU147" s="95"/>
      <c r="AV147" s="95"/>
      <c r="AW147" s="95"/>
      <c r="AX147" s="95"/>
    </row>
    <row r="148" spans="1:50" s="147" customFormat="1" ht="151.5" hidden="1" customHeight="1" x14ac:dyDescent="0.25">
      <c r="A148" s="341"/>
      <c r="B148" s="338"/>
      <c r="C148" s="373"/>
      <c r="D148" s="373"/>
      <c r="E148" s="354"/>
      <c r="F148" s="354"/>
      <c r="G148" s="354"/>
      <c r="H148" s="357"/>
      <c r="I148" s="354"/>
      <c r="J148" s="351"/>
      <c r="K148" s="342" t="str">
        <f>IF(J148&lt;=0,"",IF(J148&lt;=2,"Muy Baja",IF(J148&lt;=24,"Baja",IF(J148&lt;=500,"Media",IF(J148&lt;=5000,"Alta","Muy Alta")))))</f>
        <v/>
      </c>
      <c r="L148" s="345" t="str">
        <f>IF(K148="","",IF(K148="Muy Baja",0.2,IF(K148="Baja",0.4,IF(K148="Media",0.6,IF(K148="Alta",0.8,IF(K148="Muy Alta",1,))))))</f>
        <v/>
      </c>
      <c r="M148" s="369"/>
      <c r="N148" s="161">
        <f>IF(NOT(ISERROR(MATCH(M148,'Tabla Impacto'!$B$221:$B$223,0))),'Tabla Impacto'!$F$223&amp;"Por favor no seleccionar los criterios de impacto(Afectación Económica o presupuestal y Pérdida Reputacional)",M148)</f>
        <v>0</v>
      </c>
      <c r="O148" s="342" t="str">
        <f>IF(OR(N148='Tabla Impacto'!$C$11,N148='Tabla Impacto'!$D$11),"Leve",IF(OR(N148='Tabla Impacto'!$C$12,N148='Tabla Impacto'!$D$12),"Menor",IF(OR(N148='Tabla Impacto'!$C$13,N148='Tabla Impacto'!$D$13),"Moderado",IF(OR(N148='Tabla Impacto'!$C$14,N148='Tabla Impacto'!$D$14),"Mayor",IF(OR(N148='Tabla Impacto'!$C$15,N148='Tabla Impacto'!$D$15),"Catastrófico","")))))</f>
        <v/>
      </c>
      <c r="P148" s="345" t="str">
        <f>IF(O148="","",IF(O148="Leve",0.2,IF(O148="Menor",0.4,IF(O148="Moderado",0.6,IF(O148="Mayor",0.8,IF(O148="Catastrófico",1,))))))</f>
        <v/>
      </c>
      <c r="Q148" s="348" t="str">
        <f>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57">
        <v>1</v>
      </c>
      <c r="S148" s="158"/>
      <c r="T148" s="159" t="str">
        <f t="shared" si="186"/>
        <v/>
      </c>
      <c r="U148" s="162"/>
      <c r="V148" s="162"/>
      <c r="W148" s="163" t="str">
        <f t="shared" si="187"/>
        <v/>
      </c>
      <c r="X148" s="162"/>
      <c r="Y148" s="162"/>
      <c r="Z148" s="162"/>
      <c r="AA148" s="142" t="str">
        <f t="shared" si="188"/>
        <v/>
      </c>
      <c r="AB148" s="152" t="str">
        <f t="shared" si="189"/>
        <v/>
      </c>
      <c r="AC148" s="153" t="str">
        <f t="shared" si="190"/>
        <v/>
      </c>
      <c r="AD148" s="152" t="str">
        <f t="shared" si="191"/>
        <v/>
      </c>
      <c r="AE148" s="153" t="str">
        <f t="shared" si="192"/>
        <v/>
      </c>
      <c r="AF148" s="154" t="str">
        <f t="shared" si="193"/>
        <v/>
      </c>
      <c r="AG148" s="155"/>
      <c r="AH148" s="150"/>
      <c r="AI148" s="148"/>
      <c r="AJ148" s="149"/>
      <c r="AK148" s="149"/>
      <c r="AL148" s="150"/>
      <c r="AM148" s="95"/>
      <c r="AN148" s="95"/>
      <c r="AO148" s="137"/>
      <c r="AP148" s="95"/>
      <c r="AQ148" s="95"/>
      <c r="AR148" s="137"/>
      <c r="AS148" s="95"/>
      <c r="AT148" s="95"/>
      <c r="AU148" s="95"/>
      <c r="AV148" s="95"/>
      <c r="AW148" s="95"/>
      <c r="AX148" s="95"/>
    </row>
    <row r="149" spans="1:50" s="147" customFormat="1" ht="151.5" hidden="1" customHeight="1" x14ac:dyDescent="0.25">
      <c r="A149" s="341"/>
      <c r="B149" s="339"/>
      <c r="C149" s="341"/>
      <c r="D149" s="341"/>
      <c r="E149" s="355"/>
      <c r="F149" s="355"/>
      <c r="G149" s="355"/>
      <c r="H149" s="358"/>
      <c r="I149" s="355"/>
      <c r="J149" s="352"/>
      <c r="K149" s="343"/>
      <c r="L149" s="346"/>
      <c r="M149" s="370"/>
      <c r="N149" s="167"/>
      <c r="O149" s="343"/>
      <c r="P149" s="346"/>
      <c r="Q149" s="349"/>
      <c r="R149" s="157">
        <v>2</v>
      </c>
      <c r="S149" s="158"/>
      <c r="T149" s="159" t="str">
        <f t="shared" si="186"/>
        <v/>
      </c>
      <c r="U149" s="162"/>
      <c r="V149" s="162"/>
      <c r="W149" s="163" t="str">
        <f t="shared" si="187"/>
        <v/>
      </c>
      <c r="X149" s="162"/>
      <c r="Y149" s="162"/>
      <c r="Z149" s="162"/>
      <c r="AA149" s="142" t="str">
        <f t="shared" si="188"/>
        <v/>
      </c>
      <c r="AB149" s="152" t="str">
        <f t="shared" si="189"/>
        <v/>
      </c>
      <c r="AC149" s="153" t="str">
        <f t="shared" si="190"/>
        <v/>
      </c>
      <c r="AD149" s="152" t="str">
        <f t="shared" si="191"/>
        <v/>
      </c>
      <c r="AE149" s="153" t="str">
        <f t="shared" si="192"/>
        <v/>
      </c>
      <c r="AF149" s="154" t="str">
        <f t="shared" si="193"/>
        <v/>
      </c>
      <c r="AG149" s="155"/>
      <c r="AH149" s="150"/>
      <c r="AI149" s="148"/>
      <c r="AJ149" s="149"/>
      <c r="AK149" s="149"/>
      <c r="AL149" s="150"/>
      <c r="AM149" s="95"/>
      <c r="AN149" s="95"/>
      <c r="AO149" s="137"/>
      <c r="AP149" s="95"/>
      <c r="AQ149" s="95"/>
      <c r="AR149" s="137"/>
      <c r="AS149" s="95"/>
      <c r="AT149" s="95"/>
      <c r="AU149" s="95"/>
      <c r="AV149" s="95"/>
      <c r="AW149" s="95"/>
      <c r="AX149" s="95"/>
    </row>
    <row r="150" spans="1:50" s="147" customFormat="1" ht="151.5" hidden="1" customHeight="1" x14ac:dyDescent="0.25">
      <c r="A150" s="341"/>
      <c r="B150" s="340"/>
      <c r="C150" s="372"/>
      <c r="D150" s="372"/>
      <c r="E150" s="356"/>
      <c r="F150" s="356"/>
      <c r="G150" s="356"/>
      <c r="H150" s="359"/>
      <c r="I150" s="356"/>
      <c r="J150" s="353"/>
      <c r="K150" s="344"/>
      <c r="L150" s="347"/>
      <c r="M150" s="371"/>
      <c r="N150" s="167"/>
      <c r="O150" s="344"/>
      <c r="P150" s="347"/>
      <c r="Q150" s="350"/>
      <c r="R150" s="157">
        <v>3</v>
      </c>
      <c r="S150" s="158"/>
      <c r="T150" s="159" t="str">
        <f t="shared" si="186"/>
        <v/>
      </c>
      <c r="U150" s="162"/>
      <c r="V150" s="162"/>
      <c r="W150" s="163" t="str">
        <f t="shared" si="187"/>
        <v/>
      </c>
      <c r="X150" s="162"/>
      <c r="Y150" s="162"/>
      <c r="Z150" s="162"/>
      <c r="AA150" s="142" t="str">
        <f t="shared" si="188"/>
        <v/>
      </c>
      <c r="AB150" s="152" t="str">
        <f t="shared" si="189"/>
        <v/>
      </c>
      <c r="AC150" s="153" t="str">
        <f t="shared" si="190"/>
        <v/>
      </c>
      <c r="AD150" s="152" t="str">
        <f t="shared" si="191"/>
        <v/>
      </c>
      <c r="AE150" s="153" t="str">
        <f t="shared" si="192"/>
        <v/>
      </c>
      <c r="AF150" s="154" t="str">
        <f t="shared" si="193"/>
        <v/>
      </c>
      <c r="AG150" s="155"/>
      <c r="AH150" s="150"/>
      <c r="AI150" s="148"/>
      <c r="AJ150" s="149"/>
      <c r="AK150" s="149"/>
      <c r="AL150" s="150"/>
      <c r="AM150" s="95"/>
      <c r="AN150" s="95"/>
      <c r="AO150" s="137"/>
      <c r="AP150" s="95"/>
      <c r="AQ150" s="95"/>
      <c r="AR150" s="137"/>
      <c r="AS150" s="95"/>
      <c r="AT150" s="95"/>
      <c r="AU150" s="95"/>
      <c r="AV150" s="95"/>
      <c r="AW150" s="95"/>
      <c r="AX150" s="95"/>
    </row>
    <row r="151" spans="1:50" s="147" customFormat="1" ht="12.75" hidden="1" x14ac:dyDescent="0.25">
      <c r="A151" s="341"/>
      <c r="B151" s="338"/>
      <c r="C151" s="373"/>
      <c r="D151" s="373"/>
      <c r="E151" s="354"/>
      <c r="F151" s="354"/>
      <c r="G151" s="354"/>
      <c r="H151" s="357"/>
      <c r="I151" s="354"/>
      <c r="J151" s="351"/>
      <c r="K151" s="342" t="str">
        <f>IF(J151&lt;=0,"",IF(J151&lt;=2,"Muy Baja",IF(J151&lt;=24,"Baja",IF(J151&lt;=500,"Media",IF(J151&lt;=5000,"Alta","Muy Alta")))))</f>
        <v/>
      </c>
      <c r="L151" s="345" t="str">
        <f>IF(K151="","",IF(K151="Muy Baja",0.2,IF(K151="Baja",0.4,IF(K151="Media",0.6,IF(K151="Alta",0.8,IF(K151="Muy Alta",1,))))))</f>
        <v/>
      </c>
      <c r="M151" s="369"/>
      <c r="N151" s="161">
        <f>IF(NOT(ISERROR(MATCH(M151,'Tabla Impacto'!$B$221:$B$223,0))),'Tabla Impacto'!$F$223&amp;"Por favor no seleccionar los criterios de impacto(Afectación Económica o presupuestal y Pérdida Reputacional)",M151)</f>
        <v>0</v>
      </c>
      <c r="O151" s="342" t="str">
        <f>IF(OR(N151='Tabla Impacto'!$C$11,N151='Tabla Impacto'!$D$11),"Leve",IF(OR(N151='Tabla Impacto'!$C$12,N151='Tabla Impacto'!$D$12),"Menor",IF(OR(N151='Tabla Impacto'!$C$13,N151='Tabla Impacto'!$D$13),"Moderado",IF(OR(N151='Tabla Impacto'!$C$14,N151='Tabla Impacto'!$D$14),"Mayor",IF(OR(N151='Tabla Impacto'!$C$15,N151='Tabla Impacto'!$D$15),"Catastrófico","")))))</f>
        <v/>
      </c>
      <c r="P151" s="345" t="str">
        <f>IF(O151="","",IF(O151="Leve",0.2,IF(O151="Menor",0.4,IF(O151="Moderado",0.6,IF(O151="Mayor",0.8,IF(O151="Catastrófico",1,))))))</f>
        <v/>
      </c>
      <c r="Q151" s="348" t="str">
        <f>IF(OR(AND(K151="Muy Baja",O151="Leve"),AND(K151="Muy Baja",O151="Menor"),AND(K151="Baja",O151="Leve")),"Bajo",IF(OR(AND(K151="Muy baja",O151="Moderado"),AND(K151="Baja",O151="Menor"),AND(K151="Baja",O151="Moderado"),AND(K151="Media",O151="Leve"),AND(K151="Media",O151="Menor"),AND(K151="Media",O151="Moderado"),AND(K151="Alta",O151="Leve"),AND(K151="Alta",O151="Menor")),"Moderado",IF(OR(AND(K151="Muy Baja",O151="Mayor"),AND(K151="Baja",O151="Mayor"),AND(K151="Media",O151="Mayor"),AND(K151="Alta",O151="Moderado"),AND(K151="Alta",O151="Mayor"),AND(K151="Muy Alta",O151="Leve"),AND(K151="Muy Alta",O151="Menor"),AND(K151="Muy Alta",O151="Moderado"),AND(K151="Muy Alta",O151="Mayor")),"Alto",IF(OR(AND(K151="Muy Baja",O151="Catastrófico"),AND(K151="Baja",O151="Catastrófico"),AND(K151="Media",O151="Catastrófico"),AND(K151="Alta",O151="Catastrófico"),AND(K151="Muy Alta",O151="Catastrófico")),"Extremo",""))))</f>
        <v/>
      </c>
      <c r="R151" s="157">
        <v>1</v>
      </c>
      <c r="S151" s="158"/>
      <c r="T151" s="159" t="str">
        <f t="shared" si="186"/>
        <v/>
      </c>
      <c r="U151" s="162"/>
      <c r="V151" s="162"/>
      <c r="W151" s="163" t="str">
        <f t="shared" si="187"/>
        <v/>
      </c>
      <c r="X151" s="162"/>
      <c r="Y151" s="162"/>
      <c r="Z151" s="162"/>
      <c r="AA151" s="142" t="str">
        <f t="shared" si="188"/>
        <v/>
      </c>
      <c r="AB151" s="152" t="str">
        <f t="shared" si="189"/>
        <v/>
      </c>
      <c r="AC151" s="153" t="str">
        <f t="shared" si="190"/>
        <v/>
      </c>
      <c r="AD151" s="152" t="str">
        <f t="shared" si="191"/>
        <v/>
      </c>
      <c r="AE151" s="153" t="str">
        <f t="shared" si="192"/>
        <v/>
      </c>
      <c r="AF151" s="154" t="str">
        <f t="shared" si="193"/>
        <v/>
      </c>
      <c r="AG151" s="155"/>
      <c r="AH151" s="150"/>
      <c r="AI151" s="148"/>
      <c r="AJ151" s="149"/>
      <c r="AK151" s="149"/>
      <c r="AL151" s="150"/>
      <c r="AM151" s="95"/>
      <c r="AN151" s="95"/>
      <c r="AO151" s="137"/>
      <c r="AP151" s="95"/>
      <c r="AQ151" s="95"/>
      <c r="AR151" s="137"/>
      <c r="AS151" s="95"/>
      <c r="AT151" s="95"/>
      <c r="AU151" s="95"/>
      <c r="AV151" s="95"/>
      <c r="AW151" s="95"/>
      <c r="AX151" s="95"/>
    </row>
    <row r="152" spans="1:50" s="147" customFormat="1" ht="12.75" hidden="1" x14ac:dyDescent="0.25">
      <c r="A152" s="341"/>
      <c r="B152" s="339"/>
      <c r="C152" s="341"/>
      <c r="D152" s="341"/>
      <c r="E152" s="355"/>
      <c r="F152" s="355"/>
      <c r="G152" s="355"/>
      <c r="H152" s="358"/>
      <c r="I152" s="355"/>
      <c r="J152" s="352"/>
      <c r="K152" s="343"/>
      <c r="L152" s="346"/>
      <c r="M152" s="370"/>
      <c r="N152" s="167"/>
      <c r="O152" s="343"/>
      <c r="P152" s="346"/>
      <c r="Q152" s="349"/>
      <c r="R152" s="157">
        <v>2</v>
      </c>
      <c r="S152" s="158"/>
      <c r="T152" s="159" t="str">
        <f t="shared" si="186"/>
        <v/>
      </c>
      <c r="U152" s="162"/>
      <c r="V152" s="162"/>
      <c r="W152" s="163" t="str">
        <f t="shared" si="187"/>
        <v/>
      </c>
      <c r="X152" s="162"/>
      <c r="Y152" s="162"/>
      <c r="Z152" s="162"/>
      <c r="AA152" s="142" t="str">
        <f t="shared" si="188"/>
        <v/>
      </c>
      <c r="AB152" s="152" t="str">
        <f t="shared" si="189"/>
        <v/>
      </c>
      <c r="AC152" s="153" t="str">
        <f t="shared" si="190"/>
        <v/>
      </c>
      <c r="AD152" s="152" t="str">
        <f t="shared" si="191"/>
        <v/>
      </c>
      <c r="AE152" s="153" t="str">
        <f t="shared" si="192"/>
        <v/>
      </c>
      <c r="AF152" s="154" t="str">
        <f t="shared" si="193"/>
        <v/>
      </c>
      <c r="AG152" s="155"/>
      <c r="AH152" s="150"/>
      <c r="AI152" s="148"/>
      <c r="AJ152" s="149"/>
      <c r="AK152" s="149"/>
      <c r="AL152" s="150"/>
      <c r="AM152" s="95"/>
      <c r="AN152" s="95"/>
      <c r="AO152" s="137"/>
      <c r="AP152" s="95"/>
      <c r="AQ152" s="95"/>
      <c r="AR152" s="137"/>
      <c r="AS152" s="95"/>
      <c r="AT152" s="95"/>
      <c r="AU152" s="95"/>
      <c r="AV152" s="95"/>
      <c r="AW152" s="95"/>
      <c r="AX152" s="95"/>
    </row>
    <row r="153" spans="1:50" s="147" customFormat="1" ht="12.75" hidden="1" x14ac:dyDescent="0.25">
      <c r="A153" s="372"/>
      <c r="B153" s="340"/>
      <c r="C153" s="372"/>
      <c r="D153" s="372"/>
      <c r="E153" s="356"/>
      <c r="F153" s="356"/>
      <c r="G153" s="356"/>
      <c r="H153" s="359"/>
      <c r="I153" s="356"/>
      <c r="J153" s="353"/>
      <c r="K153" s="344"/>
      <c r="L153" s="347"/>
      <c r="M153" s="371"/>
      <c r="N153" s="167"/>
      <c r="O153" s="344"/>
      <c r="P153" s="347"/>
      <c r="Q153" s="350"/>
      <c r="R153" s="157">
        <v>3</v>
      </c>
      <c r="S153" s="158"/>
      <c r="T153" s="159" t="str">
        <f t="shared" si="186"/>
        <v/>
      </c>
      <c r="U153" s="162"/>
      <c r="V153" s="162"/>
      <c r="W153" s="163" t="str">
        <f t="shared" si="187"/>
        <v/>
      </c>
      <c r="X153" s="162"/>
      <c r="Y153" s="162"/>
      <c r="Z153" s="162"/>
      <c r="AA153" s="142" t="str">
        <f t="shared" si="188"/>
        <v/>
      </c>
      <c r="AB153" s="152" t="str">
        <f t="shared" si="189"/>
        <v/>
      </c>
      <c r="AC153" s="153" t="str">
        <f t="shared" si="190"/>
        <v/>
      </c>
      <c r="AD153" s="152" t="str">
        <f t="shared" si="191"/>
        <v/>
      </c>
      <c r="AE153" s="153" t="str">
        <f t="shared" si="192"/>
        <v/>
      </c>
      <c r="AF153" s="154" t="str">
        <f t="shared" si="193"/>
        <v/>
      </c>
      <c r="AG153" s="155"/>
      <c r="AH153" s="150"/>
      <c r="AI153" s="148"/>
      <c r="AJ153" s="149"/>
      <c r="AK153" s="149"/>
      <c r="AL153" s="150"/>
      <c r="AM153" s="95"/>
      <c r="AN153" s="95"/>
      <c r="AO153" s="137"/>
      <c r="AP153" s="95"/>
      <c r="AQ153" s="95"/>
      <c r="AR153" s="137"/>
      <c r="AS153" s="95"/>
      <c r="AT153" s="95"/>
      <c r="AU153" s="95"/>
      <c r="AV153" s="95"/>
      <c r="AW153" s="95"/>
      <c r="AX153" s="95"/>
    </row>
    <row r="154" spans="1:50" x14ac:dyDescent="0.25">
      <c r="AO154" s="233">
        <f>AVERAGE(AO7:AO145)</f>
        <v>0.9882142857142856</v>
      </c>
      <c r="AR154" s="233">
        <f>AVERAGE(AR7:AR145)</f>
        <v>0.95141176470588207</v>
      </c>
    </row>
    <row r="155" spans="1:50" x14ac:dyDescent="0.25">
      <c r="A155" s="2"/>
      <c r="B155" s="2"/>
      <c r="C155" s="2"/>
      <c r="D155" s="2"/>
      <c r="E155" s="19" t="s">
        <v>349</v>
      </c>
      <c r="F155" s="2"/>
      <c r="G155" s="2"/>
    </row>
  </sheetData>
  <autoFilter ref="A6:CO153">
    <filterColumn colId="33">
      <customFilters>
        <customFilter operator="notEqual" val=" "/>
      </customFilters>
    </filterColumn>
  </autoFilter>
  <dataConsolidate/>
  <mergeCells count="830">
    <mergeCell ref="J70:J72"/>
    <mergeCell ref="K70:K72"/>
    <mergeCell ref="L70:L72"/>
    <mergeCell ref="M70:M72"/>
    <mergeCell ref="O70:O72"/>
    <mergeCell ref="P70:P72"/>
    <mergeCell ref="Q70:Q72"/>
    <mergeCell ref="A70:A72"/>
    <mergeCell ref="B70:B72"/>
    <mergeCell ref="C70:C72"/>
    <mergeCell ref="D70:D72"/>
    <mergeCell ref="E70:E72"/>
    <mergeCell ref="F70:F72"/>
    <mergeCell ref="G70:G72"/>
    <mergeCell ref="H70:H72"/>
    <mergeCell ref="I70:I72"/>
    <mergeCell ref="Q85:Q87"/>
    <mergeCell ref="G85:G87"/>
    <mergeCell ref="H85:H87"/>
    <mergeCell ref="I85:I87"/>
    <mergeCell ref="J85:J87"/>
    <mergeCell ref="K85:K87"/>
    <mergeCell ref="L85:L87"/>
    <mergeCell ref="M85:M87"/>
    <mergeCell ref="O85:O87"/>
    <mergeCell ref="P85:P87"/>
    <mergeCell ref="Q7:Q9"/>
    <mergeCell ref="AH5:AH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E7:E9"/>
    <mergeCell ref="A1:AL2"/>
    <mergeCell ref="A4:J4"/>
    <mergeCell ref="K4:Q4"/>
    <mergeCell ref="R4:Z4"/>
    <mergeCell ref="AA4:AG4"/>
    <mergeCell ref="AH4:AL4"/>
    <mergeCell ref="R5:R6"/>
    <mergeCell ref="AF5:AF6"/>
    <mergeCell ref="AE5:AE6"/>
    <mergeCell ref="AA5:AA6"/>
    <mergeCell ref="S5:S6"/>
    <mergeCell ref="A5:A6"/>
    <mergeCell ref="I5:I6"/>
    <mergeCell ref="H5:H6"/>
    <mergeCell ref="G5:G6"/>
    <mergeCell ref="F5:F6"/>
    <mergeCell ref="U5:Z5"/>
    <mergeCell ref="A13:A15"/>
    <mergeCell ref="B13:B15"/>
    <mergeCell ref="C13:C15"/>
    <mergeCell ref="D13:D15"/>
    <mergeCell ref="E13:E15"/>
    <mergeCell ref="F13:F15"/>
    <mergeCell ref="G13:G15"/>
    <mergeCell ref="H13:H15"/>
    <mergeCell ref="A7:A9"/>
    <mergeCell ref="B7:B9"/>
    <mergeCell ref="C7:C9"/>
    <mergeCell ref="D7:D9"/>
    <mergeCell ref="I13:I15"/>
    <mergeCell ref="J13:J15"/>
    <mergeCell ref="K13:K15"/>
    <mergeCell ref="L13:L15"/>
    <mergeCell ref="M13:M15"/>
    <mergeCell ref="O13:O15"/>
    <mergeCell ref="K7:K9"/>
    <mergeCell ref="L7:L9"/>
    <mergeCell ref="M7:M9"/>
    <mergeCell ref="O7:O9"/>
    <mergeCell ref="I7:I9"/>
    <mergeCell ref="J7:J9"/>
    <mergeCell ref="P7:P9"/>
    <mergeCell ref="F7:F9"/>
    <mergeCell ref="G7:G9"/>
    <mergeCell ref="H7:H9"/>
    <mergeCell ref="A19:A21"/>
    <mergeCell ref="Q13:Q15"/>
    <mergeCell ref="G10:G12"/>
    <mergeCell ref="H10:H12"/>
    <mergeCell ref="I10:I12"/>
    <mergeCell ref="J10:J12"/>
    <mergeCell ref="K10:K12"/>
    <mergeCell ref="L10:L12"/>
    <mergeCell ref="M10:M12"/>
    <mergeCell ref="O10:O12"/>
    <mergeCell ref="P13:P15"/>
    <mergeCell ref="P10:P12"/>
    <mergeCell ref="Q10:Q12"/>
    <mergeCell ref="A10:A12"/>
    <mergeCell ref="B10:B12"/>
    <mergeCell ref="C10:C12"/>
    <mergeCell ref="D10:D12"/>
    <mergeCell ref="E10:E12"/>
    <mergeCell ref="F10:F12"/>
    <mergeCell ref="A16:A18"/>
    <mergeCell ref="B16:B18"/>
    <mergeCell ref="C16:C18"/>
    <mergeCell ref="D16:D18"/>
    <mergeCell ref="E16:E18"/>
    <mergeCell ref="F16:F18"/>
    <mergeCell ref="M19:M21"/>
    <mergeCell ref="O19:O21"/>
    <mergeCell ref="P19:P21"/>
    <mergeCell ref="Q19:Q21"/>
    <mergeCell ref="J16:J18"/>
    <mergeCell ref="K16:K18"/>
    <mergeCell ref="L16:L18"/>
    <mergeCell ref="M16:M18"/>
    <mergeCell ref="O16:O18"/>
    <mergeCell ref="P16:P18"/>
    <mergeCell ref="Q16:Q18"/>
    <mergeCell ref="J19:J21"/>
    <mergeCell ref="I16:I18"/>
    <mergeCell ref="G16:G18"/>
    <mergeCell ref="H16:H18"/>
    <mergeCell ref="B19:B21"/>
    <mergeCell ref="C19:C21"/>
    <mergeCell ref="D19:D21"/>
    <mergeCell ref="E19:E21"/>
    <mergeCell ref="F19:F21"/>
    <mergeCell ref="G19:G21"/>
    <mergeCell ref="H19:H21"/>
    <mergeCell ref="K19:K21"/>
    <mergeCell ref="L19:L21"/>
    <mergeCell ref="I19:I21"/>
    <mergeCell ref="Q22:Q24"/>
    <mergeCell ref="A25:A27"/>
    <mergeCell ref="B25:B27"/>
    <mergeCell ref="C25:C27"/>
    <mergeCell ref="D25:D27"/>
    <mergeCell ref="E25:E27"/>
    <mergeCell ref="F25:F27"/>
    <mergeCell ref="G25:G27"/>
    <mergeCell ref="H25:H27"/>
    <mergeCell ref="I25:I27"/>
    <mergeCell ref="J25:J27"/>
    <mergeCell ref="K25:K27"/>
    <mergeCell ref="L25:L27"/>
    <mergeCell ref="M25:M27"/>
    <mergeCell ref="O25:O27"/>
    <mergeCell ref="P25:P27"/>
    <mergeCell ref="Q25:Q27"/>
    <mergeCell ref="A22:A24"/>
    <mergeCell ref="B22:B24"/>
    <mergeCell ref="C22:C24"/>
    <mergeCell ref="D22:D24"/>
    <mergeCell ref="E22:E24"/>
    <mergeCell ref="F22:F24"/>
    <mergeCell ref="G22:G24"/>
    <mergeCell ref="H28:H30"/>
    <mergeCell ref="I28:I30"/>
    <mergeCell ref="I22:I24"/>
    <mergeCell ref="J22:J24"/>
    <mergeCell ref="K22:K24"/>
    <mergeCell ref="L22:L24"/>
    <mergeCell ref="M22:M24"/>
    <mergeCell ref="O22:O24"/>
    <mergeCell ref="P22:P24"/>
    <mergeCell ref="P28:P30"/>
    <mergeCell ref="H22:H24"/>
    <mergeCell ref="Q28:Q30"/>
    <mergeCell ref="P31:P33"/>
    <mergeCell ref="O31:O33"/>
    <mergeCell ref="Q31:Q33"/>
    <mergeCell ref="C31:C33"/>
    <mergeCell ref="B31:B33"/>
    <mergeCell ref="A31:A33"/>
    <mergeCell ref="J28:J30"/>
    <mergeCell ref="K28:K30"/>
    <mergeCell ref="L28:L30"/>
    <mergeCell ref="M28:M30"/>
    <mergeCell ref="O28:O30"/>
    <mergeCell ref="M31:M33"/>
    <mergeCell ref="L31:L33"/>
    <mergeCell ref="K31:K33"/>
    <mergeCell ref="J31:J33"/>
    <mergeCell ref="A28:A30"/>
    <mergeCell ref="B28:B30"/>
    <mergeCell ref="C28:C30"/>
    <mergeCell ref="D28:D30"/>
    <mergeCell ref="E28:E30"/>
    <mergeCell ref="F28:F30"/>
    <mergeCell ref="G28:G30"/>
    <mergeCell ref="H31:H33"/>
    <mergeCell ref="G31:G33"/>
    <mergeCell ref="F31:F33"/>
    <mergeCell ref="E31:E33"/>
    <mergeCell ref="D31:D33"/>
    <mergeCell ref="F34:F36"/>
    <mergeCell ref="G34:G36"/>
    <mergeCell ref="H34:H36"/>
    <mergeCell ref="I31:I33"/>
    <mergeCell ref="I34:I36"/>
    <mergeCell ref="J34:J36"/>
    <mergeCell ref="C34:C36"/>
    <mergeCell ref="D34:D36"/>
    <mergeCell ref="E34:E36"/>
    <mergeCell ref="L37:L39"/>
    <mergeCell ref="K37:K39"/>
    <mergeCell ref="J37:J39"/>
    <mergeCell ref="I37:I39"/>
    <mergeCell ref="H37:H39"/>
    <mergeCell ref="A34:A36"/>
    <mergeCell ref="B34:B36"/>
    <mergeCell ref="Q34:Q36"/>
    <mergeCell ref="Q37:Q39"/>
    <mergeCell ref="P37:P39"/>
    <mergeCell ref="O37:O39"/>
    <mergeCell ref="M37:M39"/>
    <mergeCell ref="K34:K36"/>
    <mergeCell ref="L34:L36"/>
    <mergeCell ref="M34:M36"/>
    <mergeCell ref="O34:O36"/>
    <mergeCell ref="P34:P36"/>
    <mergeCell ref="A40:A42"/>
    <mergeCell ref="B40:B42"/>
    <mergeCell ref="C40:C42"/>
    <mergeCell ref="D40:D42"/>
    <mergeCell ref="E40:E42"/>
    <mergeCell ref="G37:G39"/>
    <mergeCell ref="F37:F39"/>
    <mergeCell ref="E37:E39"/>
    <mergeCell ref="D37:D39"/>
    <mergeCell ref="C37:C39"/>
    <mergeCell ref="A37:A39"/>
    <mergeCell ref="B37:B39"/>
    <mergeCell ref="Q40:Q42"/>
    <mergeCell ref="K40:K42"/>
    <mergeCell ref="L40:L42"/>
    <mergeCell ref="M40:M42"/>
    <mergeCell ref="O40:O42"/>
    <mergeCell ref="P40:P42"/>
    <mergeCell ref="F40:F42"/>
    <mergeCell ref="G40:G42"/>
    <mergeCell ref="H40:H42"/>
    <mergeCell ref="I40:I42"/>
    <mergeCell ref="J40:J42"/>
    <mergeCell ref="A43:A45"/>
    <mergeCell ref="B43:B45"/>
    <mergeCell ref="C43:C45"/>
    <mergeCell ref="D43:D45"/>
    <mergeCell ref="E43:E45"/>
    <mergeCell ref="F43:F45"/>
    <mergeCell ref="G43:G45"/>
    <mergeCell ref="H43:H45"/>
    <mergeCell ref="I43:I45"/>
    <mergeCell ref="J43:J45"/>
    <mergeCell ref="K43:K45"/>
    <mergeCell ref="L43:L45"/>
    <mergeCell ref="M43:M45"/>
    <mergeCell ref="O43:O45"/>
    <mergeCell ref="P43:P45"/>
    <mergeCell ref="Q43:Q45"/>
    <mergeCell ref="J46:J48"/>
    <mergeCell ref="K46:K48"/>
    <mergeCell ref="L46:L48"/>
    <mergeCell ref="M46:M48"/>
    <mergeCell ref="O46:O48"/>
    <mergeCell ref="P46:P48"/>
    <mergeCell ref="Q46:Q48"/>
    <mergeCell ref="H49:H51"/>
    <mergeCell ref="I49:I51"/>
    <mergeCell ref="B46:B48"/>
    <mergeCell ref="C46:C48"/>
    <mergeCell ref="D46:D48"/>
    <mergeCell ref="E46:E48"/>
    <mergeCell ref="F46:F48"/>
    <mergeCell ref="G46:G48"/>
    <mergeCell ref="H46:H48"/>
    <mergeCell ref="I46:I48"/>
    <mergeCell ref="J49:J51"/>
    <mergeCell ref="K49:K51"/>
    <mergeCell ref="L49:L51"/>
    <mergeCell ref="M49:M51"/>
    <mergeCell ref="O49:O51"/>
    <mergeCell ref="P49:P51"/>
    <mergeCell ref="Q49:Q51"/>
    <mergeCell ref="A46:A48"/>
    <mergeCell ref="A52:A54"/>
    <mergeCell ref="B52:B54"/>
    <mergeCell ref="C52:C54"/>
    <mergeCell ref="D52:D54"/>
    <mergeCell ref="E52:E54"/>
    <mergeCell ref="F52:F54"/>
    <mergeCell ref="G52:G54"/>
    <mergeCell ref="H52:H54"/>
    <mergeCell ref="I52:I54"/>
    <mergeCell ref="B49:B51"/>
    <mergeCell ref="A49:A51"/>
    <mergeCell ref="C49:C51"/>
    <mergeCell ref="D49:D51"/>
    <mergeCell ref="E49:E51"/>
    <mergeCell ref="F49:F51"/>
    <mergeCell ref="G49:G51"/>
    <mergeCell ref="I55:I57"/>
    <mergeCell ref="P52:P54"/>
    <mergeCell ref="Q52:Q54"/>
    <mergeCell ref="Q55:Q57"/>
    <mergeCell ref="P55:P57"/>
    <mergeCell ref="O55:O57"/>
    <mergeCell ref="D58:D60"/>
    <mergeCell ref="E58:E60"/>
    <mergeCell ref="F58:F60"/>
    <mergeCell ref="G58:G60"/>
    <mergeCell ref="H58:H60"/>
    <mergeCell ref="J52:J54"/>
    <mergeCell ref="K52:K54"/>
    <mergeCell ref="L52:L54"/>
    <mergeCell ref="M52:M54"/>
    <mergeCell ref="O52:O54"/>
    <mergeCell ref="M55:M57"/>
    <mergeCell ref="L55:L57"/>
    <mergeCell ref="K55:K57"/>
    <mergeCell ref="J55:J57"/>
    <mergeCell ref="C55:C57"/>
    <mergeCell ref="B55:B57"/>
    <mergeCell ref="A55:A57"/>
    <mergeCell ref="A58:A60"/>
    <mergeCell ref="B58:B60"/>
    <mergeCell ref="C58:C60"/>
    <mergeCell ref="H55:H57"/>
    <mergeCell ref="G55:G57"/>
    <mergeCell ref="F55:F57"/>
    <mergeCell ref="E55:E57"/>
    <mergeCell ref="D55:D57"/>
    <mergeCell ref="J115:J117"/>
    <mergeCell ref="I115:I117"/>
    <mergeCell ref="O58:O60"/>
    <mergeCell ref="P58:P60"/>
    <mergeCell ref="Q58:Q60"/>
    <mergeCell ref="O61:O63"/>
    <mergeCell ref="P61:P63"/>
    <mergeCell ref="Q61:Q63"/>
    <mergeCell ref="O64:O66"/>
    <mergeCell ref="P64:P66"/>
    <mergeCell ref="Q64:Q66"/>
    <mergeCell ref="O67:O69"/>
    <mergeCell ref="I58:I60"/>
    <mergeCell ref="J58:J60"/>
    <mergeCell ref="K58:K60"/>
    <mergeCell ref="L58:L60"/>
    <mergeCell ref="M58:M60"/>
    <mergeCell ref="I112:I114"/>
    <mergeCell ref="J112:J114"/>
    <mergeCell ref="K112:K114"/>
    <mergeCell ref="L112:L114"/>
    <mergeCell ref="M112:M114"/>
    <mergeCell ref="I61:I63"/>
    <mergeCell ref="J61:J63"/>
    <mergeCell ref="C115:C117"/>
    <mergeCell ref="B115:B117"/>
    <mergeCell ref="A115:A117"/>
    <mergeCell ref="A112:A114"/>
    <mergeCell ref="B112:B114"/>
    <mergeCell ref="C112:C114"/>
    <mergeCell ref="H115:H117"/>
    <mergeCell ref="G115:G117"/>
    <mergeCell ref="F115:F117"/>
    <mergeCell ref="E115:E117"/>
    <mergeCell ref="D115:D117"/>
    <mergeCell ref="D112:D114"/>
    <mergeCell ref="E112:E114"/>
    <mergeCell ref="F112:F114"/>
    <mergeCell ref="G112:G114"/>
    <mergeCell ref="H112:H114"/>
    <mergeCell ref="D124:D126"/>
    <mergeCell ref="E124:E126"/>
    <mergeCell ref="F124:F126"/>
    <mergeCell ref="G124:G126"/>
    <mergeCell ref="A118:A120"/>
    <mergeCell ref="B118:B120"/>
    <mergeCell ref="C118:C120"/>
    <mergeCell ref="D118:D120"/>
    <mergeCell ref="E118:E120"/>
    <mergeCell ref="F118:F120"/>
    <mergeCell ref="G118:G120"/>
    <mergeCell ref="F121:F123"/>
    <mergeCell ref="G121:G123"/>
    <mergeCell ref="A121:A123"/>
    <mergeCell ref="B121:B123"/>
    <mergeCell ref="C121:C123"/>
    <mergeCell ref="D121:D123"/>
    <mergeCell ref="E121:E123"/>
    <mergeCell ref="M124:M126"/>
    <mergeCell ref="O124:O126"/>
    <mergeCell ref="P124:P126"/>
    <mergeCell ref="Q124:Q126"/>
    <mergeCell ref="A106:A108"/>
    <mergeCell ref="B106:B108"/>
    <mergeCell ref="C106:C108"/>
    <mergeCell ref="D106:D108"/>
    <mergeCell ref="E106:E108"/>
    <mergeCell ref="F106:F108"/>
    <mergeCell ref="G106:G108"/>
    <mergeCell ref="H106:H108"/>
    <mergeCell ref="I106:I108"/>
    <mergeCell ref="J106:J108"/>
    <mergeCell ref="K106:K108"/>
    <mergeCell ref="L106:L108"/>
    <mergeCell ref="H124:H126"/>
    <mergeCell ref="I124:I126"/>
    <mergeCell ref="J124:J126"/>
    <mergeCell ref="K124:K126"/>
    <mergeCell ref="L124:L126"/>
    <mergeCell ref="A124:A126"/>
    <mergeCell ref="B124:B126"/>
    <mergeCell ref="C124:C126"/>
    <mergeCell ref="A88:A90"/>
    <mergeCell ref="A82:A84"/>
    <mergeCell ref="A79:A81"/>
    <mergeCell ref="A76:A78"/>
    <mergeCell ref="A73:A75"/>
    <mergeCell ref="A103:A105"/>
    <mergeCell ref="A97:A99"/>
    <mergeCell ref="A94:A96"/>
    <mergeCell ref="A91:A93"/>
    <mergeCell ref="A85:A87"/>
    <mergeCell ref="A100:A102"/>
    <mergeCell ref="A67:A69"/>
    <mergeCell ref="A64:A66"/>
    <mergeCell ref="A61:A63"/>
    <mergeCell ref="B61:B63"/>
    <mergeCell ref="C61:C63"/>
    <mergeCell ref="B64:B66"/>
    <mergeCell ref="C64:C66"/>
    <mergeCell ref="B67:B69"/>
    <mergeCell ref="C67:C69"/>
    <mergeCell ref="K61:K63"/>
    <mergeCell ref="L61:L63"/>
    <mergeCell ref="M61:M63"/>
    <mergeCell ref="D61:D63"/>
    <mergeCell ref="E61:E63"/>
    <mergeCell ref="F61:F63"/>
    <mergeCell ref="G61:G63"/>
    <mergeCell ref="H61:H63"/>
    <mergeCell ref="G67:G69"/>
    <mergeCell ref="H67:H69"/>
    <mergeCell ref="I64:I66"/>
    <mergeCell ref="J64:J66"/>
    <mergeCell ref="K64:K66"/>
    <mergeCell ref="L64:L66"/>
    <mergeCell ref="M64:M66"/>
    <mergeCell ref="D64:D66"/>
    <mergeCell ref="E64:E66"/>
    <mergeCell ref="F64:F66"/>
    <mergeCell ref="G64:G66"/>
    <mergeCell ref="H64:H66"/>
    <mergeCell ref="P67:P69"/>
    <mergeCell ref="Q67:Q69"/>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I67:I69"/>
    <mergeCell ref="J67:J69"/>
    <mergeCell ref="K67:K69"/>
    <mergeCell ref="L67:L69"/>
    <mergeCell ref="M67:M69"/>
    <mergeCell ref="D67:D69"/>
    <mergeCell ref="E67:E69"/>
    <mergeCell ref="F67:F69"/>
    <mergeCell ref="B79:B81"/>
    <mergeCell ref="C79:C81"/>
    <mergeCell ref="D79:D81"/>
    <mergeCell ref="E79:E81"/>
    <mergeCell ref="F79:F81"/>
    <mergeCell ref="Q73:Q75"/>
    <mergeCell ref="B76:B78"/>
    <mergeCell ref="C76:C78"/>
    <mergeCell ref="D76:D78"/>
    <mergeCell ref="E76:E78"/>
    <mergeCell ref="F76:F78"/>
    <mergeCell ref="G76:G78"/>
    <mergeCell ref="H76:H78"/>
    <mergeCell ref="I76:I78"/>
    <mergeCell ref="J76:J78"/>
    <mergeCell ref="K76:K78"/>
    <mergeCell ref="L76:L78"/>
    <mergeCell ref="M76:M78"/>
    <mergeCell ref="O76:O78"/>
    <mergeCell ref="P76:P78"/>
    <mergeCell ref="Q76:Q78"/>
    <mergeCell ref="L79:L81"/>
    <mergeCell ref="M79:M81"/>
    <mergeCell ref="O79:O81"/>
    <mergeCell ref="P79:P81"/>
    <mergeCell ref="Q79:Q81"/>
    <mergeCell ref="G79:G81"/>
    <mergeCell ref="H79:H81"/>
    <mergeCell ref="I79:I81"/>
    <mergeCell ref="J79:J81"/>
    <mergeCell ref="K79:K81"/>
    <mergeCell ref="K82:K84"/>
    <mergeCell ref="J82:J84"/>
    <mergeCell ref="I82:I84"/>
    <mergeCell ref="H82:H84"/>
    <mergeCell ref="G82:G84"/>
    <mergeCell ref="Q82:Q84"/>
    <mergeCell ref="P82:P84"/>
    <mergeCell ref="O82:O84"/>
    <mergeCell ref="M82:M84"/>
    <mergeCell ref="L82:L84"/>
    <mergeCell ref="F82:F84"/>
    <mergeCell ref="E82:E84"/>
    <mergeCell ref="D82:D84"/>
    <mergeCell ref="C82:C84"/>
    <mergeCell ref="B82:B84"/>
    <mergeCell ref="B85:B87"/>
    <mergeCell ref="C85:C87"/>
    <mergeCell ref="D85:D87"/>
    <mergeCell ref="E85:E87"/>
    <mergeCell ref="F85:F87"/>
    <mergeCell ref="Q88:Q90"/>
    <mergeCell ref="G88:G90"/>
    <mergeCell ref="H88:H90"/>
    <mergeCell ref="I88:I90"/>
    <mergeCell ref="J88:J90"/>
    <mergeCell ref="K88:K90"/>
    <mergeCell ref="B88:B90"/>
    <mergeCell ref="C88:C90"/>
    <mergeCell ref="D88:D90"/>
    <mergeCell ref="E88:E90"/>
    <mergeCell ref="F88:F90"/>
    <mergeCell ref="B91:B93"/>
    <mergeCell ref="C91:C93"/>
    <mergeCell ref="D91:D93"/>
    <mergeCell ref="E91:E93"/>
    <mergeCell ref="F91:F93"/>
    <mergeCell ref="L88:L90"/>
    <mergeCell ref="M88:M90"/>
    <mergeCell ref="O88:O90"/>
    <mergeCell ref="P88:P90"/>
    <mergeCell ref="L91:L93"/>
    <mergeCell ref="M91:M93"/>
    <mergeCell ref="O91:O93"/>
    <mergeCell ref="P91:P93"/>
    <mergeCell ref="Q91:Q93"/>
    <mergeCell ref="G91:G93"/>
    <mergeCell ref="H91:H93"/>
    <mergeCell ref="I91:I93"/>
    <mergeCell ref="J91:J93"/>
    <mergeCell ref="K91:K93"/>
    <mergeCell ref="E94:E96"/>
    <mergeCell ref="D94:D96"/>
    <mergeCell ref="C94:C96"/>
    <mergeCell ref="B94:B96"/>
    <mergeCell ref="K94:K96"/>
    <mergeCell ref="J94:J96"/>
    <mergeCell ref="I94:I96"/>
    <mergeCell ref="H94:H96"/>
    <mergeCell ref="G94:G96"/>
    <mergeCell ref="O97:O99"/>
    <mergeCell ref="P97:P99"/>
    <mergeCell ref="Q97:Q99"/>
    <mergeCell ref="G97:G99"/>
    <mergeCell ref="H97:H99"/>
    <mergeCell ref="I97:I99"/>
    <mergeCell ref="J97:J99"/>
    <mergeCell ref="K97:K99"/>
    <mergeCell ref="F94:F96"/>
    <mergeCell ref="Q94:Q96"/>
    <mergeCell ref="P94:P96"/>
    <mergeCell ref="O94:O96"/>
    <mergeCell ref="M94:M96"/>
    <mergeCell ref="L94:L96"/>
    <mergeCell ref="B97:B99"/>
    <mergeCell ref="C97:C99"/>
    <mergeCell ref="D97:D99"/>
    <mergeCell ref="E97:E99"/>
    <mergeCell ref="F97:F99"/>
    <mergeCell ref="K100:K102"/>
    <mergeCell ref="L100:L102"/>
    <mergeCell ref="N100:N102"/>
    <mergeCell ref="M100:M102"/>
    <mergeCell ref="L97:L99"/>
    <mergeCell ref="M97:M99"/>
    <mergeCell ref="B103:B105"/>
    <mergeCell ref="C103:C105"/>
    <mergeCell ref="D103:D105"/>
    <mergeCell ref="E103:E105"/>
    <mergeCell ref="F103:F105"/>
    <mergeCell ref="G103:G105"/>
    <mergeCell ref="H103:H105"/>
    <mergeCell ref="I103:I105"/>
    <mergeCell ref="J103:J105"/>
    <mergeCell ref="K103:K105"/>
    <mergeCell ref="I100:I102"/>
    <mergeCell ref="J100:J102"/>
    <mergeCell ref="M106:M108"/>
    <mergeCell ref="O106:O108"/>
    <mergeCell ref="P106:P108"/>
    <mergeCell ref="Q106:Q108"/>
    <mergeCell ref="L103:L105"/>
    <mergeCell ref="M103:M105"/>
    <mergeCell ref="O103:O105"/>
    <mergeCell ref="P103:P105"/>
    <mergeCell ref="Q103:Q105"/>
    <mergeCell ref="Q121:Q123"/>
    <mergeCell ref="P121:P123"/>
    <mergeCell ref="O121:O123"/>
    <mergeCell ref="M121:M123"/>
    <mergeCell ref="M118:M120"/>
    <mergeCell ref="O118:O120"/>
    <mergeCell ref="P118:P120"/>
    <mergeCell ref="Q118:Q120"/>
    <mergeCell ref="H118:H120"/>
    <mergeCell ref="I118:I120"/>
    <mergeCell ref="J118:J120"/>
    <mergeCell ref="K118:K120"/>
    <mergeCell ref="L118:L120"/>
    <mergeCell ref="K121:K123"/>
    <mergeCell ref="L121:L123"/>
    <mergeCell ref="H121:H123"/>
    <mergeCell ref="I121:I123"/>
    <mergeCell ref="J121:J123"/>
    <mergeCell ref="F109:F111"/>
    <mergeCell ref="G109:G111"/>
    <mergeCell ref="H109:H111"/>
    <mergeCell ref="I109:I111"/>
    <mergeCell ref="J109:J111"/>
    <mergeCell ref="A109:A111"/>
    <mergeCell ref="B109:B111"/>
    <mergeCell ref="C109:C111"/>
    <mergeCell ref="D109:D111"/>
    <mergeCell ref="E109:E111"/>
    <mergeCell ref="Q112:Q114"/>
    <mergeCell ref="O115:O117"/>
    <mergeCell ref="P115:P117"/>
    <mergeCell ref="Q115:Q117"/>
    <mergeCell ref="K109:K111"/>
    <mergeCell ref="L109:L111"/>
    <mergeCell ref="M109:M111"/>
    <mergeCell ref="O109:O111"/>
    <mergeCell ref="P109:P111"/>
    <mergeCell ref="M115:M117"/>
    <mergeCell ref="L115:L117"/>
    <mergeCell ref="K115:K117"/>
    <mergeCell ref="O130:O132"/>
    <mergeCell ref="P130:P132"/>
    <mergeCell ref="Q130:Q132"/>
    <mergeCell ref="A127:A129"/>
    <mergeCell ref="B127:B129"/>
    <mergeCell ref="C127:C129"/>
    <mergeCell ref="D127:D129"/>
    <mergeCell ref="E127:E129"/>
    <mergeCell ref="F127:F129"/>
    <mergeCell ref="G127:G129"/>
    <mergeCell ref="H127:H129"/>
    <mergeCell ref="I127:I129"/>
    <mergeCell ref="A130:A132"/>
    <mergeCell ref="B130:B132"/>
    <mergeCell ref="C130:C132"/>
    <mergeCell ref="D130:D132"/>
    <mergeCell ref="E130:E132"/>
    <mergeCell ref="F130:F132"/>
    <mergeCell ref="G130:G132"/>
    <mergeCell ref="H130:H132"/>
    <mergeCell ref="I130:I132"/>
    <mergeCell ref="A133:A135"/>
    <mergeCell ref="B133:B135"/>
    <mergeCell ref="J133:J135"/>
    <mergeCell ref="A136:A138"/>
    <mergeCell ref="B136:B138"/>
    <mergeCell ref="C136:C138"/>
    <mergeCell ref="D136:D138"/>
    <mergeCell ref="E136:E138"/>
    <mergeCell ref="F136:F138"/>
    <mergeCell ref="G136:G138"/>
    <mergeCell ref="H136:H138"/>
    <mergeCell ref="I136:I138"/>
    <mergeCell ref="F133:F135"/>
    <mergeCell ref="G133:G135"/>
    <mergeCell ref="H133:H135"/>
    <mergeCell ref="I133:I135"/>
    <mergeCell ref="J130:J132"/>
    <mergeCell ref="K133:K135"/>
    <mergeCell ref="M139:M141"/>
    <mergeCell ref="D139:D141"/>
    <mergeCell ref="C139:C141"/>
    <mergeCell ref="L133:L135"/>
    <mergeCell ref="M133:M135"/>
    <mergeCell ref="J136:J138"/>
    <mergeCell ref="K136:K138"/>
    <mergeCell ref="L136:L138"/>
    <mergeCell ref="M136:M138"/>
    <mergeCell ref="K130:K132"/>
    <mergeCell ref="L130:L132"/>
    <mergeCell ref="M130:M132"/>
    <mergeCell ref="Q145:Q147"/>
    <mergeCell ref="A142:A144"/>
    <mergeCell ref="B142:B144"/>
    <mergeCell ref="A145:A147"/>
    <mergeCell ref="B145:B147"/>
    <mergeCell ref="C145:C147"/>
    <mergeCell ref="D145:D147"/>
    <mergeCell ref="E145:E147"/>
    <mergeCell ref="F145:F147"/>
    <mergeCell ref="G145:G147"/>
    <mergeCell ref="H145:H147"/>
    <mergeCell ref="I145:I147"/>
    <mergeCell ref="K142:K144"/>
    <mergeCell ref="L142:L144"/>
    <mergeCell ref="M142:M144"/>
    <mergeCell ref="O142:O144"/>
    <mergeCell ref="P142:P144"/>
    <mergeCell ref="Q142:Q144"/>
    <mergeCell ref="H148:H150"/>
    <mergeCell ref="I148:I150"/>
    <mergeCell ref="J142:J144"/>
    <mergeCell ref="C142:C144"/>
    <mergeCell ref="D142:D144"/>
    <mergeCell ref="E142:E144"/>
    <mergeCell ref="F142:F144"/>
    <mergeCell ref="G142:G144"/>
    <mergeCell ref="H142:H144"/>
    <mergeCell ref="I142:I144"/>
    <mergeCell ref="J148:J150"/>
    <mergeCell ref="J145:J147"/>
    <mergeCell ref="Q148:Q150"/>
    <mergeCell ref="A151:A153"/>
    <mergeCell ref="B151:B153"/>
    <mergeCell ref="C151:C153"/>
    <mergeCell ref="D151:D153"/>
    <mergeCell ref="E151:E153"/>
    <mergeCell ref="F151:F153"/>
    <mergeCell ref="G151:G153"/>
    <mergeCell ref="H151:H153"/>
    <mergeCell ref="I151:I153"/>
    <mergeCell ref="J151:J153"/>
    <mergeCell ref="K151:K153"/>
    <mergeCell ref="L151:L153"/>
    <mergeCell ref="M151:M153"/>
    <mergeCell ref="O151:O153"/>
    <mergeCell ref="P151:P153"/>
    <mergeCell ref="Q151:Q153"/>
    <mergeCell ref="A148:A150"/>
    <mergeCell ref="B148:B150"/>
    <mergeCell ref="C148:C150"/>
    <mergeCell ref="D148:D150"/>
    <mergeCell ref="E148:E150"/>
    <mergeCell ref="F148:F150"/>
    <mergeCell ref="G148:G150"/>
    <mergeCell ref="K148:K150"/>
    <mergeCell ref="L148:L150"/>
    <mergeCell ref="M148:M150"/>
    <mergeCell ref="O148:O150"/>
    <mergeCell ref="P148:P150"/>
    <mergeCell ref="K145:K147"/>
    <mergeCell ref="L145:L147"/>
    <mergeCell ref="M145:M147"/>
    <mergeCell ref="O145:O147"/>
    <mergeCell ref="P145:P147"/>
    <mergeCell ref="AM4:AX4"/>
    <mergeCell ref="AM5:AO5"/>
    <mergeCell ref="AP5:AR5"/>
    <mergeCell ref="AS5:AU5"/>
    <mergeCell ref="AV5:AW5"/>
    <mergeCell ref="AX5:AX6"/>
    <mergeCell ref="K139:K141"/>
    <mergeCell ref="L139:L141"/>
    <mergeCell ref="O139:O141"/>
    <mergeCell ref="P139:P141"/>
    <mergeCell ref="Q139:Q141"/>
    <mergeCell ref="O133:O135"/>
    <mergeCell ref="P133:P135"/>
    <mergeCell ref="Q133:Q135"/>
    <mergeCell ref="Q136:Q138"/>
    <mergeCell ref="O136:O138"/>
    <mergeCell ref="P136:P138"/>
    <mergeCell ref="M127:M129"/>
    <mergeCell ref="O127:O129"/>
    <mergeCell ref="P127:P129"/>
    <mergeCell ref="Q127:Q129"/>
    <mergeCell ref="Q109:Q111"/>
    <mergeCell ref="O112:O114"/>
    <mergeCell ref="P112:P114"/>
    <mergeCell ref="B139:B141"/>
    <mergeCell ref="A139:A141"/>
    <mergeCell ref="O100:O102"/>
    <mergeCell ref="P100:P102"/>
    <mergeCell ref="Q100:Q102"/>
    <mergeCell ref="J139:J141"/>
    <mergeCell ref="I139:I141"/>
    <mergeCell ref="H139:H141"/>
    <mergeCell ref="G139:G141"/>
    <mergeCell ref="F139:F141"/>
    <mergeCell ref="E139:E141"/>
    <mergeCell ref="B100:B102"/>
    <mergeCell ref="C100:C102"/>
    <mergeCell ref="D100:D102"/>
    <mergeCell ref="E100:E102"/>
    <mergeCell ref="F100:F102"/>
    <mergeCell ref="G100:G102"/>
    <mergeCell ref="H100:H102"/>
    <mergeCell ref="J127:J129"/>
    <mergeCell ref="K127:K129"/>
    <mergeCell ref="L127:L129"/>
    <mergeCell ref="C133:C135"/>
    <mergeCell ref="D133:D135"/>
    <mergeCell ref="E133:E135"/>
  </mergeCells>
  <phoneticPr fontId="66" type="noConversion"/>
  <conditionalFormatting sqref="K7 AB7:AB16">
    <cfRule type="cellIs" dxfId="2596" priority="3309" operator="equal">
      <formula>"Muy Alta"</formula>
    </cfRule>
    <cfRule type="cellIs" dxfId="2595" priority="3310" operator="equal">
      <formula>"Alta"</formula>
    </cfRule>
    <cfRule type="cellIs" dxfId="2594" priority="3311" operator="equal">
      <formula>"Media"</formula>
    </cfRule>
    <cfRule type="cellIs" dxfId="2593" priority="3312" operator="equal">
      <formula>"Baja"</formula>
    </cfRule>
    <cfRule type="cellIs" dxfId="2592" priority="3313" operator="equal">
      <formula>"Muy Baja"</formula>
    </cfRule>
  </conditionalFormatting>
  <conditionalFormatting sqref="Q7 AF7:AF16">
    <cfRule type="cellIs" dxfId="2591" priority="3300" operator="equal">
      <formula>"Extremo"</formula>
    </cfRule>
    <cfRule type="cellIs" dxfId="2590" priority="3301" operator="equal">
      <formula>"Alto"</formula>
    </cfRule>
    <cfRule type="cellIs" dxfId="2589" priority="3302" operator="equal">
      <formula>"Moderado"</formula>
    </cfRule>
    <cfRule type="cellIs" dxfId="2588" priority="3303" operator="equal">
      <formula>"Bajo"</formula>
    </cfRule>
  </conditionalFormatting>
  <conditionalFormatting sqref="AB49 AB55 AB58 AB61 AB64 AB67 AB79 AB82 AB88 AB91 AB97:AB98 AB106 AB19 AB22">
    <cfRule type="cellIs" dxfId="2587" priority="3295" operator="equal">
      <formula>"Muy Alta"</formula>
    </cfRule>
    <cfRule type="cellIs" dxfId="2586" priority="3296" operator="equal">
      <formula>"Alta"</formula>
    </cfRule>
    <cfRule type="cellIs" dxfId="2585" priority="3297" operator="equal">
      <formula>"Media"</formula>
    </cfRule>
    <cfRule type="cellIs" dxfId="2584" priority="3298" operator="equal">
      <formula>"Baja"</formula>
    </cfRule>
    <cfRule type="cellIs" dxfId="2583" priority="3299" operator="equal">
      <formula>"Muy Baja"</formula>
    </cfRule>
  </conditionalFormatting>
  <conditionalFormatting sqref="AD49 AD55 AD58 AD61 AD64 AD67 AD79 AD82 AD88 AD91 AD97:AD98 AD106 AD19 AD22 AD7:AD16">
    <cfRule type="cellIs" dxfId="2582" priority="3290" operator="equal">
      <formula>"Catastrófico"</formula>
    </cfRule>
    <cfRule type="cellIs" dxfId="2581" priority="3291" operator="equal">
      <formula>"Mayor"</formula>
    </cfRule>
    <cfRule type="cellIs" dxfId="2580" priority="3292" operator="equal">
      <formula>"Moderado"</formula>
    </cfRule>
    <cfRule type="cellIs" dxfId="2579" priority="3293" operator="equal">
      <formula>"Menor"</formula>
    </cfRule>
    <cfRule type="cellIs" dxfId="2578" priority="3294" operator="equal">
      <formula>"Leve"</formula>
    </cfRule>
  </conditionalFormatting>
  <conditionalFormatting sqref="AF49 AF55 AF58 AF61 AF64 AF67 AF79 AF82 AF88 AF91 AF97:AF98 AF106 AF19 AF22">
    <cfRule type="cellIs" dxfId="2577" priority="3286" operator="equal">
      <formula>"Extremo"</formula>
    </cfRule>
    <cfRule type="cellIs" dxfId="2576" priority="3287" operator="equal">
      <formula>"Alto"</formula>
    </cfRule>
    <cfRule type="cellIs" dxfId="2575" priority="3288" operator="equal">
      <formula>"Moderado"</formula>
    </cfRule>
    <cfRule type="cellIs" dxfId="2574" priority="3289" operator="equal">
      <formula>"Bajo"</formula>
    </cfRule>
  </conditionalFormatting>
  <conditionalFormatting sqref="K97:K98">
    <cfRule type="cellIs" dxfId="2573" priority="1423" operator="equal">
      <formula>"Muy Alta"</formula>
    </cfRule>
    <cfRule type="cellIs" dxfId="2572" priority="1424" operator="equal">
      <formula>"Alta"</formula>
    </cfRule>
    <cfRule type="cellIs" dxfId="2571" priority="1425" operator="equal">
      <formula>"Media"</formula>
    </cfRule>
    <cfRule type="cellIs" dxfId="2570" priority="1426" operator="equal">
      <formula>"Baja"</formula>
    </cfRule>
    <cfRule type="cellIs" dxfId="2569" priority="1427" operator="equal">
      <formula>"Muy Baja"</formula>
    </cfRule>
  </conditionalFormatting>
  <conditionalFormatting sqref="K82">
    <cfRule type="cellIs" dxfId="2568" priority="1483" operator="equal">
      <formula>"Muy Alta"</formula>
    </cfRule>
    <cfRule type="cellIs" dxfId="2567" priority="1484" operator="equal">
      <formula>"Alta"</formula>
    </cfRule>
    <cfRule type="cellIs" dxfId="2566" priority="1485" operator="equal">
      <formula>"Media"</formula>
    </cfRule>
    <cfRule type="cellIs" dxfId="2565" priority="1486" operator="equal">
      <formula>"Baja"</formula>
    </cfRule>
    <cfRule type="cellIs" dxfId="2564" priority="1487" operator="equal">
      <formula>"Muy Baja"</formula>
    </cfRule>
  </conditionalFormatting>
  <conditionalFormatting sqref="N7:N9">
    <cfRule type="containsText" dxfId="2563" priority="2991" operator="containsText" text="❌">
      <formula>NOT(ISERROR(SEARCH("❌",N7)))</formula>
    </cfRule>
  </conditionalFormatting>
  <conditionalFormatting sqref="AD52">
    <cfRule type="cellIs" dxfId="2562" priority="2469" operator="equal">
      <formula>"Catastrófico"</formula>
    </cfRule>
    <cfRule type="cellIs" dxfId="2561" priority="2470" operator="equal">
      <formula>"Mayor"</formula>
    </cfRule>
    <cfRule type="cellIs" dxfId="2560" priority="2471" operator="equal">
      <formula>"Moderado"</formula>
    </cfRule>
    <cfRule type="cellIs" dxfId="2559" priority="2472" operator="equal">
      <formula>"Menor"</formula>
    </cfRule>
    <cfRule type="cellIs" dxfId="2558" priority="2473" operator="equal">
      <formula>"Leve"</formula>
    </cfRule>
  </conditionalFormatting>
  <conditionalFormatting sqref="AF52">
    <cfRule type="cellIs" dxfId="2557" priority="2465" operator="equal">
      <formula>"Extremo"</formula>
    </cfRule>
    <cfRule type="cellIs" dxfId="2556" priority="2466" operator="equal">
      <formula>"Alto"</formula>
    </cfRule>
    <cfRule type="cellIs" dxfId="2555" priority="2467" operator="equal">
      <formula>"Moderado"</formula>
    </cfRule>
    <cfRule type="cellIs" dxfId="2554" priority="2468" operator="equal">
      <formula>"Bajo"</formula>
    </cfRule>
  </conditionalFormatting>
  <conditionalFormatting sqref="AF50">
    <cfRule type="cellIs" dxfId="2553" priority="2479" operator="equal">
      <formula>"Extremo"</formula>
    </cfRule>
    <cfRule type="cellIs" dxfId="2552" priority="2480" operator="equal">
      <formula>"Alto"</formula>
    </cfRule>
    <cfRule type="cellIs" dxfId="2551" priority="2481" operator="equal">
      <formula>"Moderado"</formula>
    </cfRule>
    <cfRule type="cellIs" dxfId="2550" priority="2482" operator="equal">
      <formula>"Bajo"</formula>
    </cfRule>
  </conditionalFormatting>
  <conditionalFormatting sqref="AB23">
    <cfRule type="cellIs" dxfId="2549" priority="2894" operator="equal">
      <formula>"Muy Alta"</formula>
    </cfRule>
    <cfRule type="cellIs" dxfId="2548" priority="2895" operator="equal">
      <formula>"Alta"</formula>
    </cfRule>
    <cfRule type="cellIs" dxfId="2547" priority="2896" operator="equal">
      <formula>"Media"</formula>
    </cfRule>
    <cfRule type="cellIs" dxfId="2546" priority="2897" operator="equal">
      <formula>"Baja"</formula>
    </cfRule>
    <cfRule type="cellIs" dxfId="2545" priority="2898" operator="equal">
      <formula>"Muy Baja"</formula>
    </cfRule>
  </conditionalFormatting>
  <conditionalFormatting sqref="AD23">
    <cfRule type="cellIs" dxfId="2544" priority="2889" operator="equal">
      <formula>"Catastrófico"</formula>
    </cfRule>
    <cfRule type="cellIs" dxfId="2543" priority="2890" operator="equal">
      <formula>"Mayor"</formula>
    </cfRule>
    <cfRule type="cellIs" dxfId="2542" priority="2891" operator="equal">
      <formula>"Moderado"</formula>
    </cfRule>
    <cfRule type="cellIs" dxfId="2541" priority="2892" operator="equal">
      <formula>"Menor"</formula>
    </cfRule>
    <cfRule type="cellIs" dxfId="2540" priority="2893" operator="equal">
      <formula>"Leve"</formula>
    </cfRule>
  </conditionalFormatting>
  <conditionalFormatting sqref="AF23">
    <cfRule type="cellIs" dxfId="2539" priority="2885" operator="equal">
      <formula>"Extremo"</formula>
    </cfRule>
    <cfRule type="cellIs" dxfId="2538" priority="2886" operator="equal">
      <formula>"Alto"</formula>
    </cfRule>
    <cfRule type="cellIs" dxfId="2537" priority="2887" operator="equal">
      <formula>"Moderado"</formula>
    </cfRule>
    <cfRule type="cellIs" dxfId="2536" priority="2888" operator="equal">
      <formula>"Bajo"</formula>
    </cfRule>
  </conditionalFormatting>
  <conditionalFormatting sqref="AB24">
    <cfRule type="cellIs" dxfId="2535" priority="2880" operator="equal">
      <formula>"Muy Alta"</formula>
    </cfRule>
    <cfRule type="cellIs" dxfId="2534" priority="2881" operator="equal">
      <formula>"Alta"</formula>
    </cfRule>
    <cfRule type="cellIs" dxfId="2533" priority="2882" operator="equal">
      <formula>"Media"</formula>
    </cfRule>
    <cfRule type="cellIs" dxfId="2532" priority="2883" operator="equal">
      <formula>"Baja"</formula>
    </cfRule>
    <cfRule type="cellIs" dxfId="2531" priority="2884" operator="equal">
      <formula>"Muy Baja"</formula>
    </cfRule>
  </conditionalFormatting>
  <conditionalFormatting sqref="AD24">
    <cfRule type="cellIs" dxfId="2530" priority="2875" operator="equal">
      <formula>"Catastrófico"</formula>
    </cfRule>
    <cfRule type="cellIs" dxfId="2529" priority="2876" operator="equal">
      <formula>"Mayor"</formula>
    </cfRule>
    <cfRule type="cellIs" dxfId="2528" priority="2877" operator="equal">
      <formula>"Moderado"</formula>
    </cfRule>
    <cfRule type="cellIs" dxfId="2527" priority="2878" operator="equal">
      <formula>"Menor"</formula>
    </cfRule>
    <cfRule type="cellIs" dxfId="2526" priority="2879" operator="equal">
      <formula>"Leve"</formula>
    </cfRule>
  </conditionalFormatting>
  <conditionalFormatting sqref="AF24">
    <cfRule type="cellIs" dxfId="2525" priority="2871" operator="equal">
      <formula>"Extremo"</formula>
    </cfRule>
    <cfRule type="cellIs" dxfId="2524" priority="2872" operator="equal">
      <formula>"Alto"</formula>
    </cfRule>
    <cfRule type="cellIs" dxfId="2523" priority="2873" operator="equal">
      <formula>"Moderado"</formula>
    </cfRule>
    <cfRule type="cellIs" dxfId="2522" priority="2874" operator="equal">
      <formula>"Bajo"</formula>
    </cfRule>
  </conditionalFormatting>
  <conditionalFormatting sqref="AB25">
    <cfRule type="cellIs" dxfId="2521" priority="2866" operator="equal">
      <formula>"Muy Alta"</formula>
    </cfRule>
    <cfRule type="cellIs" dxfId="2520" priority="2867" operator="equal">
      <formula>"Alta"</formula>
    </cfRule>
    <cfRule type="cellIs" dxfId="2519" priority="2868" operator="equal">
      <formula>"Media"</formula>
    </cfRule>
    <cfRule type="cellIs" dxfId="2518" priority="2869" operator="equal">
      <formula>"Baja"</formula>
    </cfRule>
    <cfRule type="cellIs" dxfId="2517" priority="2870" operator="equal">
      <formula>"Muy Baja"</formula>
    </cfRule>
  </conditionalFormatting>
  <conditionalFormatting sqref="AD25">
    <cfRule type="cellIs" dxfId="2516" priority="2861" operator="equal">
      <formula>"Catastrófico"</formula>
    </cfRule>
    <cfRule type="cellIs" dxfId="2515" priority="2862" operator="equal">
      <formula>"Mayor"</formula>
    </cfRule>
    <cfRule type="cellIs" dxfId="2514" priority="2863" operator="equal">
      <formula>"Moderado"</formula>
    </cfRule>
    <cfRule type="cellIs" dxfId="2513" priority="2864" operator="equal">
      <formula>"Menor"</formula>
    </cfRule>
    <cfRule type="cellIs" dxfId="2512" priority="2865" operator="equal">
      <formula>"Leve"</formula>
    </cfRule>
  </conditionalFormatting>
  <conditionalFormatting sqref="AF25">
    <cfRule type="cellIs" dxfId="2511" priority="2857" operator="equal">
      <formula>"Extremo"</formula>
    </cfRule>
    <cfRule type="cellIs" dxfId="2510" priority="2858" operator="equal">
      <formula>"Alto"</formula>
    </cfRule>
    <cfRule type="cellIs" dxfId="2509" priority="2859" operator="equal">
      <formula>"Moderado"</formula>
    </cfRule>
    <cfRule type="cellIs" dxfId="2508" priority="2860" operator="equal">
      <formula>"Bajo"</formula>
    </cfRule>
  </conditionalFormatting>
  <conditionalFormatting sqref="AB26">
    <cfRule type="cellIs" dxfId="2507" priority="2852" operator="equal">
      <formula>"Muy Alta"</formula>
    </cfRule>
    <cfRule type="cellIs" dxfId="2506" priority="2853" operator="equal">
      <formula>"Alta"</formula>
    </cfRule>
    <cfRule type="cellIs" dxfId="2505" priority="2854" operator="equal">
      <formula>"Media"</formula>
    </cfRule>
    <cfRule type="cellIs" dxfId="2504" priority="2855" operator="equal">
      <formula>"Baja"</formula>
    </cfRule>
    <cfRule type="cellIs" dxfId="2503" priority="2856" operator="equal">
      <formula>"Muy Baja"</formula>
    </cfRule>
  </conditionalFormatting>
  <conditionalFormatting sqref="AD26">
    <cfRule type="cellIs" dxfId="2502" priority="2847" operator="equal">
      <formula>"Catastrófico"</formula>
    </cfRule>
    <cfRule type="cellIs" dxfId="2501" priority="2848" operator="equal">
      <formula>"Mayor"</formula>
    </cfRule>
    <cfRule type="cellIs" dxfId="2500" priority="2849" operator="equal">
      <formula>"Moderado"</formula>
    </cfRule>
    <cfRule type="cellIs" dxfId="2499" priority="2850" operator="equal">
      <formula>"Menor"</formula>
    </cfRule>
    <cfRule type="cellIs" dxfId="2498" priority="2851" operator="equal">
      <formula>"Leve"</formula>
    </cfRule>
  </conditionalFormatting>
  <conditionalFormatting sqref="AF26">
    <cfRule type="cellIs" dxfId="2497" priority="2843" operator="equal">
      <formula>"Extremo"</formula>
    </cfRule>
    <cfRule type="cellIs" dxfId="2496" priority="2844" operator="equal">
      <formula>"Alto"</formula>
    </cfRule>
    <cfRule type="cellIs" dxfId="2495" priority="2845" operator="equal">
      <formula>"Moderado"</formula>
    </cfRule>
    <cfRule type="cellIs" dxfId="2494" priority="2846" operator="equal">
      <formula>"Bajo"</formula>
    </cfRule>
  </conditionalFormatting>
  <conditionalFormatting sqref="AB27">
    <cfRule type="cellIs" dxfId="2493" priority="2838" operator="equal">
      <formula>"Muy Alta"</formula>
    </cfRule>
    <cfRule type="cellIs" dxfId="2492" priority="2839" operator="equal">
      <formula>"Alta"</formula>
    </cfRule>
    <cfRule type="cellIs" dxfId="2491" priority="2840" operator="equal">
      <formula>"Media"</formula>
    </cfRule>
    <cfRule type="cellIs" dxfId="2490" priority="2841" operator="equal">
      <formula>"Baja"</formula>
    </cfRule>
    <cfRule type="cellIs" dxfId="2489" priority="2842" operator="equal">
      <formula>"Muy Baja"</formula>
    </cfRule>
  </conditionalFormatting>
  <conditionalFormatting sqref="AD27">
    <cfRule type="cellIs" dxfId="2488" priority="2833" operator="equal">
      <formula>"Catastrófico"</formula>
    </cfRule>
    <cfRule type="cellIs" dxfId="2487" priority="2834" operator="equal">
      <formula>"Mayor"</formula>
    </cfRule>
    <cfRule type="cellIs" dxfId="2486" priority="2835" operator="equal">
      <formula>"Moderado"</formula>
    </cfRule>
    <cfRule type="cellIs" dxfId="2485" priority="2836" operator="equal">
      <formula>"Menor"</formula>
    </cfRule>
    <cfRule type="cellIs" dxfId="2484" priority="2837" operator="equal">
      <formula>"Leve"</formula>
    </cfRule>
  </conditionalFormatting>
  <conditionalFormatting sqref="AF27">
    <cfRule type="cellIs" dxfId="2483" priority="2829" operator="equal">
      <formula>"Extremo"</formula>
    </cfRule>
    <cfRule type="cellIs" dxfId="2482" priority="2830" operator="equal">
      <formula>"Alto"</formula>
    </cfRule>
    <cfRule type="cellIs" dxfId="2481" priority="2831" operator="equal">
      <formula>"Moderado"</formula>
    </cfRule>
    <cfRule type="cellIs" dxfId="2480" priority="2832" operator="equal">
      <formula>"Bajo"</formula>
    </cfRule>
  </conditionalFormatting>
  <conditionalFormatting sqref="AB28">
    <cfRule type="cellIs" dxfId="2479" priority="2824" operator="equal">
      <formula>"Muy Alta"</formula>
    </cfRule>
    <cfRule type="cellIs" dxfId="2478" priority="2825" operator="equal">
      <formula>"Alta"</formula>
    </cfRule>
    <cfRule type="cellIs" dxfId="2477" priority="2826" operator="equal">
      <formula>"Media"</formula>
    </cfRule>
    <cfRule type="cellIs" dxfId="2476" priority="2827" operator="equal">
      <formula>"Baja"</formula>
    </cfRule>
    <cfRule type="cellIs" dxfId="2475" priority="2828" operator="equal">
      <formula>"Muy Baja"</formula>
    </cfRule>
  </conditionalFormatting>
  <conditionalFormatting sqref="AD28">
    <cfRule type="cellIs" dxfId="2474" priority="2819" operator="equal">
      <formula>"Catastrófico"</formula>
    </cfRule>
    <cfRule type="cellIs" dxfId="2473" priority="2820" operator="equal">
      <formula>"Mayor"</formula>
    </cfRule>
    <cfRule type="cellIs" dxfId="2472" priority="2821" operator="equal">
      <formula>"Moderado"</formula>
    </cfRule>
    <cfRule type="cellIs" dxfId="2471" priority="2822" operator="equal">
      <formula>"Menor"</formula>
    </cfRule>
    <cfRule type="cellIs" dxfId="2470" priority="2823" operator="equal">
      <formula>"Leve"</formula>
    </cfRule>
  </conditionalFormatting>
  <conditionalFormatting sqref="AF28">
    <cfRule type="cellIs" dxfId="2469" priority="2815" operator="equal">
      <formula>"Extremo"</formula>
    </cfRule>
    <cfRule type="cellIs" dxfId="2468" priority="2816" operator="equal">
      <formula>"Alto"</formula>
    </cfRule>
    <cfRule type="cellIs" dxfId="2467" priority="2817" operator="equal">
      <formula>"Moderado"</formula>
    </cfRule>
    <cfRule type="cellIs" dxfId="2466" priority="2818" operator="equal">
      <formula>"Bajo"</formula>
    </cfRule>
  </conditionalFormatting>
  <conditionalFormatting sqref="AB29">
    <cfRule type="cellIs" dxfId="2465" priority="2810" operator="equal">
      <formula>"Muy Alta"</formula>
    </cfRule>
    <cfRule type="cellIs" dxfId="2464" priority="2811" operator="equal">
      <formula>"Alta"</formula>
    </cfRule>
    <cfRule type="cellIs" dxfId="2463" priority="2812" operator="equal">
      <formula>"Media"</formula>
    </cfRule>
    <cfRule type="cellIs" dxfId="2462" priority="2813" operator="equal">
      <formula>"Baja"</formula>
    </cfRule>
    <cfRule type="cellIs" dxfId="2461" priority="2814" operator="equal">
      <formula>"Muy Baja"</formula>
    </cfRule>
  </conditionalFormatting>
  <conditionalFormatting sqref="AD29">
    <cfRule type="cellIs" dxfId="2460" priority="2805" operator="equal">
      <formula>"Catastrófico"</formula>
    </cfRule>
    <cfRule type="cellIs" dxfId="2459" priority="2806" operator="equal">
      <formula>"Mayor"</formula>
    </cfRule>
    <cfRule type="cellIs" dxfId="2458" priority="2807" operator="equal">
      <formula>"Moderado"</formula>
    </cfRule>
    <cfRule type="cellIs" dxfId="2457" priority="2808" operator="equal">
      <formula>"Menor"</formula>
    </cfRule>
    <cfRule type="cellIs" dxfId="2456" priority="2809" operator="equal">
      <formula>"Leve"</formula>
    </cfRule>
  </conditionalFormatting>
  <conditionalFormatting sqref="AF29">
    <cfRule type="cellIs" dxfId="2455" priority="2801" operator="equal">
      <formula>"Extremo"</formula>
    </cfRule>
    <cfRule type="cellIs" dxfId="2454" priority="2802" operator="equal">
      <formula>"Alto"</formula>
    </cfRule>
    <cfRule type="cellIs" dxfId="2453" priority="2803" operator="equal">
      <formula>"Moderado"</formula>
    </cfRule>
    <cfRule type="cellIs" dxfId="2452" priority="2804" operator="equal">
      <formula>"Bajo"</formula>
    </cfRule>
  </conditionalFormatting>
  <conditionalFormatting sqref="AB30">
    <cfRule type="cellIs" dxfId="2451" priority="2796" operator="equal">
      <formula>"Muy Alta"</formula>
    </cfRule>
    <cfRule type="cellIs" dxfId="2450" priority="2797" operator="equal">
      <formula>"Alta"</formula>
    </cfRule>
    <cfRule type="cellIs" dxfId="2449" priority="2798" operator="equal">
      <formula>"Media"</formula>
    </cfRule>
    <cfRule type="cellIs" dxfId="2448" priority="2799" operator="equal">
      <formula>"Baja"</formula>
    </cfRule>
    <cfRule type="cellIs" dxfId="2447" priority="2800" operator="equal">
      <formula>"Muy Baja"</formula>
    </cfRule>
  </conditionalFormatting>
  <conditionalFormatting sqref="AD30">
    <cfRule type="cellIs" dxfId="2446" priority="2791" operator="equal">
      <formula>"Catastrófico"</formula>
    </cfRule>
    <cfRule type="cellIs" dxfId="2445" priority="2792" operator="equal">
      <formula>"Mayor"</formula>
    </cfRule>
    <cfRule type="cellIs" dxfId="2444" priority="2793" operator="equal">
      <formula>"Moderado"</formula>
    </cfRule>
    <cfRule type="cellIs" dxfId="2443" priority="2794" operator="equal">
      <formula>"Menor"</formula>
    </cfRule>
    <cfRule type="cellIs" dxfId="2442" priority="2795" operator="equal">
      <formula>"Leve"</formula>
    </cfRule>
  </conditionalFormatting>
  <conditionalFormatting sqref="AF30">
    <cfRule type="cellIs" dxfId="2441" priority="2787" operator="equal">
      <formula>"Extremo"</formula>
    </cfRule>
    <cfRule type="cellIs" dxfId="2440" priority="2788" operator="equal">
      <formula>"Alto"</formula>
    </cfRule>
    <cfRule type="cellIs" dxfId="2439" priority="2789" operator="equal">
      <formula>"Moderado"</formula>
    </cfRule>
    <cfRule type="cellIs" dxfId="2438" priority="2790" operator="equal">
      <formula>"Bajo"</formula>
    </cfRule>
  </conditionalFormatting>
  <conditionalFormatting sqref="AB31">
    <cfRule type="cellIs" dxfId="2437" priority="2782" operator="equal">
      <formula>"Muy Alta"</formula>
    </cfRule>
    <cfRule type="cellIs" dxfId="2436" priority="2783" operator="equal">
      <formula>"Alta"</formula>
    </cfRule>
    <cfRule type="cellIs" dxfId="2435" priority="2784" operator="equal">
      <formula>"Media"</formula>
    </cfRule>
    <cfRule type="cellIs" dxfId="2434" priority="2785" operator="equal">
      <formula>"Baja"</formula>
    </cfRule>
    <cfRule type="cellIs" dxfId="2433" priority="2786" operator="equal">
      <formula>"Muy Baja"</formula>
    </cfRule>
  </conditionalFormatting>
  <conditionalFormatting sqref="AD31">
    <cfRule type="cellIs" dxfId="2432" priority="2777" operator="equal">
      <formula>"Catastrófico"</formula>
    </cfRule>
    <cfRule type="cellIs" dxfId="2431" priority="2778" operator="equal">
      <formula>"Mayor"</formula>
    </cfRule>
    <cfRule type="cellIs" dxfId="2430" priority="2779" operator="equal">
      <formula>"Moderado"</formula>
    </cfRule>
    <cfRule type="cellIs" dxfId="2429" priority="2780" operator="equal">
      <formula>"Menor"</formula>
    </cfRule>
    <cfRule type="cellIs" dxfId="2428" priority="2781" operator="equal">
      <formula>"Leve"</formula>
    </cfRule>
  </conditionalFormatting>
  <conditionalFormatting sqref="AF31">
    <cfRule type="cellIs" dxfId="2427" priority="2773" operator="equal">
      <formula>"Extremo"</formula>
    </cfRule>
    <cfRule type="cellIs" dxfId="2426" priority="2774" operator="equal">
      <formula>"Alto"</formula>
    </cfRule>
    <cfRule type="cellIs" dxfId="2425" priority="2775" operator="equal">
      <formula>"Moderado"</formula>
    </cfRule>
    <cfRule type="cellIs" dxfId="2424" priority="2776" operator="equal">
      <formula>"Bajo"</formula>
    </cfRule>
  </conditionalFormatting>
  <conditionalFormatting sqref="AB32">
    <cfRule type="cellIs" dxfId="2423" priority="2768" operator="equal">
      <formula>"Muy Alta"</formula>
    </cfRule>
    <cfRule type="cellIs" dxfId="2422" priority="2769" operator="equal">
      <formula>"Alta"</formula>
    </cfRule>
    <cfRule type="cellIs" dxfId="2421" priority="2770" operator="equal">
      <formula>"Media"</formula>
    </cfRule>
    <cfRule type="cellIs" dxfId="2420" priority="2771" operator="equal">
      <formula>"Baja"</formula>
    </cfRule>
    <cfRule type="cellIs" dxfId="2419" priority="2772" operator="equal">
      <formula>"Muy Baja"</formula>
    </cfRule>
  </conditionalFormatting>
  <conditionalFormatting sqref="AD32">
    <cfRule type="cellIs" dxfId="2418" priority="2763" operator="equal">
      <formula>"Catastrófico"</formula>
    </cfRule>
    <cfRule type="cellIs" dxfId="2417" priority="2764" operator="equal">
      <formula>"Mayor"</formula>
    </cfRule>
    <cfRule type="cellIs" dxfId="2416" priority="2765" operator="equal">
      <formula>"Moderado"</formula>
    </cfRule>
    <cfRule type="cellIs" dxfId="2415" priority="2766" operator="equal">
      <formula>"Menor"</formula>
    </cfRule>
    <cfRule type="cellIs" dxfId="2414" priority="2767" operator="equal">
      <formula>"Leve"</formula>
    </cfRule>
  </conditionalFormatting>
  <conditionalFormatting sqref="AF32">
    <cfRule type="cellIs" dxfId="2413" priority="2759" operator="equal">
      <formula>"Extremo"</formula>
    </cfRule>
    <cfRule type="cellIs" dxfId="2412" priority="2760" operator="equal">
      <formula>"Alto"</formula>
    </cfRule>
    <cfRule type="cellIs" dxfId="2411" priority="2761" operator="equal">
      <formula>"Moderado"</formula>
    </cfRule>
    <cfRule type="cellIs" dxfId="2410" priority="2762" operator="equal">
      <formula>"Bajo"</formula>
    </cfRule>
  </conditionalFormatting>
  <conditionalFormatting sqref="AB33">
    <cfRule type="cellIs" dxfId="2409" priority="2754" operator="equal">
      <formula>"Muy Alta"</formula>
    </cfRule>
    <cfRule type="cellIs" dxfId="2408" priority="2755" operator="equal">
      <formula>"Alta"</formula>
    </cfRule>
    <cfRule type="cellIs" dxfId="2407" priority="2756" operator="equal">
      <formula>"Media"</formula>
    </cfRule>
    <cfRule type="cellIs" dxfId="2406" priority="2757" operator="equal">
      <formula>"Baja"</formula>
    </cfRule>
    <cfRule type="cellIs" dxfId="2405" priority="2758" operator="equal">
      <formula>"Muy Baja"</formula>
    </cfRule>
  </conditionalFormatting>
  <conditionalFormatting sqref="AD33">
    <cfRule type="cellIs" dxfId="2404" priority="2749" operator="equal">
      <formula>"Catastrófico"</formula>
    </cfRule>
    <cfRule type="cellIs" dxfId="2403" priority="2750" operator="equal">
      <formula>"Mayor"</formula>
    </cfRule>
    <cfRule type="cellIs" dxfId="2402" priority="2751" operator="equal">
      <formula>"Moderado"</formula>
    </cfRule>
    <cfRule type="cellIs" dxfId="2401" priority="2752" operator="equal">
      <formula>"Menor"</formula>
    </cfRule>
    <cfRule type="cellIs" dxfId="2400" priority="2753" operator="equal">
      <formula>"Leve"</formula>
    </cfRule>
  </conditionalFormatting>
  <conditionalFormatting sqref="AF33">
    <cfRule type="cellIs" dxfId="2399" priority="2745" operator="equal">
      <formula>"Extremo"</formula>
    </cfRule>
    <cfRule type="cellIs" dxfId="2398" priority="2746" operator="equal">
      <formula>"Alto"</formula>
    </cfRule>
    <cfRule type="cellIs" dxfId="2397" priority="2747" operator="equal">
      <formula>"Moderado"</formula>
    </cfRule>
    <cfRule type="cellIs" dxfId="2396" priority="2748" operator="equal">
      <formula>"Bajo"</formula>
    </cfRule>
  </conditionalFormatting>
  <conditionalFormatting sqref="AB34">
    <cfRule type="cellIs" dxfId="2395" priority="2740" operator="equal">
      <formula>"Muy Alta"</formula>
    </cfRule>
    <cfRule type="cellIs" dxfId="2394" priority="2741" operator="equal">
      <formula>"Alta"</formula>
    </cfRule>
    <cfRule type="cellIs" dxfId="2393" priority="2742" operator="equal">
      <formula>"Media"</formula>
    </cfRule>
    <cfRule type="cellIs" dxfId="2392" priority="2743" operator="equal">
      <formula>"Baja"</formula>
    </cfRule>
    <cfRule type="cellIs" dxfId="2391" priority="2744" operator="equal">
      <formula>"Muy Baja"</formula>
    </cfRule>
  </conditionalFormatting>
  <conditionalFormatting sqref="AD34">
    <cfRule type="cellIs" dxfId="2390" priority="2735" operator="equal">
      <formula>"Catastrófico"</formula>
    </cfRule>
    <cfRule type="cellIs" dxfId="2389" priority="2736" operator="equal">
      <formula>"Mayor"</formula>
    </cfRule>
    <cfRule type="cellIs" dxfId="2388" priority="2737" operator="equal">
      <formula>"Moderado"</formula>
    </cfRule>
    <cfRule type="cellIs" dxfId="2387" priority="2738" operator="equal">
      <formula>"Menor"</formula>
    </cfRule>
    <cfRule type="cellIs" dxfId="2386" priority="2739" operator="equal">
      <formula>"Leve"</formula>
    </cfRule>
  </conditionalFormatting>
  <conditionalFormatting sqref="AF34">
    <cfRule type="cellIs" dxfId="2385" priority="2731" operator="equal">
      <formula>"Extremo"</formula>
    </cfRule>
    <cfRule type="cellIs" dxfId="2384" priority="2732" operator="equal">
      <formula>"Alto"</formula>
    </cfRule>
    <cfRule type="cellIs" dxfId="2383" priority="2733" operator="equal">
      <formula>"Moderado"</formula>
    </cfRule>
    <cfRule type="cellIs" dxfId="2382" priority="2734" operator="equal">
      <formula>"Bajo"</formula>
    </cfRule>
  </conditionalFormatting>
  <conditionalFormatting sqref="AB35">
    <cfRule type="cellIs" dxfId="2381" priority="2726" operator="equal">
      <formula>"Muy Alta"</formula>
    </cfRule>
    <cfRule type="cellIs" dxfId="2380" priority="2727" operator="equal">
      <formula>"Alta"</formula>
    </cfRule>
    <cfRule type="cellIs" dxfId="2379" priority="2728" operator="equal">
      <formula>"Media"</formula>
    </cfRule>
    <cfRule type="cellIs" dxfId="2378" priority="2729" operator="equal">
      <formula>"Baja"</formula>
    </cfRule>
    <cfRule type="cellIs" dxfId="2377" priority="2730" operator="equal">
      <formula>"Muy Baja"</formula>
    </cfRule>
  </conditionalFormatting>
  <conditionalFormatting sqref="AD35">
    <cfRule type="cellIs" dxfId="2376" priority="2721" operator="equal">
      <formula>"Catastrófico"</formula>
    </cfRule>
    <cfRule type="cellIs" dxfId="2375" priority="2722" operator="equal">
      <formula>"Mayor"</formula>
    </cfRule>
    <cfRule type="cellIs" dxfId="2374" priority="2723" operator="equal">
      <formula>"Moderado"</formula>
    </cfRule>
    <cfRule type="cellIs" dxfId="2373" priority="2724" operator="equal">
      <formula>"Menor"</formula>
    </cfRule>
    <cfRule type="cellIs" dxfId="2372" priority="2725" operator="equal">
      <formula>"Leve"</formula>
    </cfRule>
  </conditionalFormatting>
  <conditionalFormatting sqref="AF35">
    <cfRule type="cellIs" dxfId="2371" priority="2717" operator="equal">
      <formula>"Extremo"</formula>
    </cfRule>
    <cfRule type="cellIs" dxfId="2370" priority="2718" operator="equal">
      <formula>"Alto"</formula>
    </cfRule>
    <cfRule type="cellIs" dxfId="2369" priority="2719" operator="equal">
      <formula>"Moderado"</formula>
    </cfRule>
    <cfRule type="cellIs" dxfId="2368" priority="2720" operator="equal">
      <formula>"Bajo"</formula>
    </cfRule>
  </conditionalFormatting>
  <conditionalFormatting sqref="AB36">
    <cfRule type="cellIs" dxfId="2367" priority="2712" operator="equal">
      <formula>"Muy Alta"</formula>
    </cfRule>
    <cfRule type="cellIs" dxfId="2366" priority="2713" operator="equal">
      <formula>"Alta"</formula>
    </cfRule>
    <cfRule type="cellIs" dxfId="2365" priority="2714" operator="equal">
      <formula>"Media"</formula>
    </cfRule>
    <cfRule type="cellIs" dxfId="2364" priority="2715" operator="equal">
      <formula>"Baja"</formula>
    </cfRule>
    <cfRule type="cellIs" dxfId="2363" priority="2716" operator="equal">
      <formula>"Muy Baja"</formula>
    </cfRule>
  </conditionalFormatting>
  <conditionalFormatting sqref="AD36">
    <cfRule type="cellIs" dxfId="2362" priority="2707" operator="equal">
      <formula>"Catastrófico"</formula>
    </cfRule>
    <cfRule type="cellIs" dxfId="2361" priority="2708" operator="equal">
      <formula>"Mayor"</formula>
    </cfRule>
    <cfRule type="cellIs" dxfId="2360" priority="2709" operator="equal">
      <formula>"Moderado"</formula>
    </cfRule>
    <cfRule type="cellIs" dxfId="2359" priority="2710" operator="equal">
      <formula>"Menor"</formula>
    </cfRule>
    <cfRule type="cellIs" dxfId="2358" priority="2711" operator="equal">
      <formula>"Leve"</formula>
    </cfRule>
  </conditionalFormatting>
  <conditionalFormatting sqref="AF36">
    <cfRule type="cellIs" dxfId="2357" priority="2703" operator="equal">
      <formula>"Extremo"</formula>
    </cfRule>
    <cfRule type="cellIs" dxfId="2356" priority="2704" operator="equal">
      <formula>"Alto"</formula>
    </cfRule>
    <cfRule type="cellIs" dxfId="2355" priority="2705" operator="equal">
      <formula>"Moderado"</formula>
    </cfRule>
    <cfRule type="cellIs" dxfId="2354" priority="2706" operator="equal">
      <formula>"Bajo"</formula>
    </cfRule>
  </conditionalFormatting>
  <conditionalFormatting sqref="AB37">
    <cfRule type="cellIs" dxfId="2353" priority="2698" operator="equal">
      <formula>"Muy Alta"</formula>
    </cfRule>
    <cfRule type="cellIs" dxfId="2352" priority="2699" operator="equal">
      <formula>"Alta"</formula>
    </cfRule>
    <cfRule type="cellIs" dxfId="2351" priority="2700" operator="equal">
      <formula>"Media"</formula>
    </cfRule>
    <cfRule type="cellIs" dxfId="2350" priority="2701" operator="equal">
      <formula>"Baja"</formula>
    </cfRule>
    <cfRule type="cellIs" dxfId="2349" priority="2702" operator="equal">
      <formula>"Muy Baja"</formula>
    </cfRule>
  </conditionalFormatting>
  <conditionalFormatting sqref="AD37">
    <cfRule type="cellIs" dxfId="2348" priority="2693" operator="equal">
      <formula>"Catastrófico"</formula>
    </cfRule>
    <cfRule type="cellIs" dxfId="2347" priority="2694" operator="equal">
      <formula>"Mayor"</formula>
    </cfRule>
    <cfRule type="cellIs" dxfId="2346" priority="2695" operator="equal">
      <formula>"Moderado"</formula>
    </cfRule>
    <cfRule type="cellIs" dxfId="2345" priority="2696" operator="equal">
      <formula>"Menor"</formula>
    </cfRule>
    <cfRule type="cellIs" dxfId="2344" priority="2697" operator="equal">
      <formula>"Leve"</formula>
    </cfRule>
  </conditionalFormatting>
  <conditionalFormatting sqref="AF37">
    <cfRule type="cellIs" dxfId="2343" priority="2689" operator="equal">
      <formula>"Extremo"</formula>
    </cfRule>
    <cfRule type="cellIs" dxfId="2342" priority="2690" operator="equal">
      <formula>"Alto"</formula>
    </cfRule>
    <cfRule type="cellIs" dxfId="2341" priority="2691" operator="equal">
      <formula>"Moderado"</formula>
    </cfRule>
    <cfRule type="cellIs" dxfId="2340" priority="2692" operator="equal">
      <formula>"Bajo"</formula>
    </cfRule>
  </conditionalFormatting>
  <conditionalFormatting sqref="AB38">
    <cfRule type="cellIs" dxfId="2339" priority="2684" operator="equal">
      <formula>"Muy Alta"</formula>
    </cfRule>
    <cfRule type="cellIs" dxfId="2338" priority="2685" operator="equal">
      <formula>"Alta"</formula>
    </cfRule>
    <cfRule type="cellIs" dxfId="2337" priority="2686" operator="equal">
      <formula>"Media"</formula>
    </cfRule>
    <cfRule type="cellIs" dxfId="2336" priority="2687" operator="equal">
      <formula>"Baja"</formula>
    </cfRule>
    <cfRule type="cellIs" dxfId="2335" priority="2688" operator="equal">
      <formula>"Muy Baja"</formula>
    </cfRule>
  </conditionalFormatting>
  <conditionalFormatting sqref="AD38">
    <cfRule type="cellIs" dxfId="2334" priority="2679" operator="equal">
      <formula>"Catastrófico"</formula>
    </cfRule>
    <cfRule type="cellIs" dxfId="2333" priority="2680" operator="equal">
      <formula>"Mayor"</formula>
    </cfRule>
    <cfRule type="cellIs" dxfId="2332" priority="2681" operator="equal">
      <formula>"Moderado"</formula>
    </cfRule>
    <cfRule type="cellIs" dxfId="2331" priority="2682" operator="equal">
      <formula>"Menor"</formula>
    </cfRule>
    <cfRule type="cellIs" dxfId="2330" priority="2683" operator="equal">
      <formula>"Leve"</formula>
    </cfRule>
  </conditionalFormatting>
  <conditionalFormatting sqref="AF38">
    <cfRule type="cellIs" dxfId="2329" priority="2675" operator="equal">
      <formula>"Extremo"</formula>
    </cfRule>
    <cfRule type="cellIs" dxfId="2328" priority="2676" operator="equal">
      <formula>"Alto"</formula>
    </cfRule>
    <cfRule type="cellIs" dxfId="2327" priority="2677" operator="equal">
      <formula>"Moderado"</formula>
    </cfRule>
    <cfRule type="cellIs" dxfId="2326" priority="2678" operator="equal">
      <formula>"Bajo"</formula>
    </cfRule>
  </conditionalFormatting>
  <conditionalFormatting sqref="AB39">
    <cfRule type="cellIs" dxfId="2325" priority="2670" operator="equal">
      <formula>"Muy Alta"</formula>
    </cfRule>
    <cfRule type="cellIs" dxfId="2324" priority="2671" operator="equal">
      <formula>"Alta"</formula>
    </cfRule>
    <cfRule type="cellIs" dxfId="2323" priority="2672" operator="equal">
      <formula>"Media"</formula>
    </cfRule>
    <cfRule type="cellIs" dxfId="2322" priority="2673" operator="equal">
      <formula>"Baja"</formula>
    </cfRule>
    <cfRule type="cellIs" dxfId="2321" priority="2674" operator="equal">
      <formula>"Muy Baja"</formula>
    </cfRule>
  </conditionalFormatting>
  <conditionalFormatting sqref="AD39">
    <cfRule type="cellIs" dxfId="2320" priority="2665" operator="equal">
      <formula>"Catastrófico"</formula>
    </cfRule>
    <cfRule type="cellIs" dxfId="2319" priority="2666" operator="equal">
      <formula>"Mayor"</formula>
    </cfRule>
    <cfRule type="cellIs" dxfId="2318" priority="2667" operator="equal">
      <formula>"Moderado"</formula>
    </cfRule>
    <cfRule type="cellIs" dxfId="2317" priority="2668" operator="equal">
      <formula>"Menor"</formula>
    </cfRule>
    <cfRule type="cellIs" dxfId="2316" priority="2669" operator="equal">
      <formula>"Leve"</formula>
    </cfRule>
  </conditionalFormatting>
  <conditionalFormatting sqref="AF39">
    <cfRule type="cellIs" dxfId="2315" priority="2661" operator="equal">
      <formula>"Extremo"</formula>
    </cfRule>
    <cfRule type="cellIs" dxfId="2314" priority="2662" operator="equal">
      <formula>"Alto"</formula>
    </cfRule>
    <cfRule type="cellIs" dxfId="2313" priority="2663" operator="equal">
      <formula>"Moderado"</formula>
    </cfRule>
    <cfRule type="cellIs" dxfId="2312" priority="2664" operator="equal">
      <formula>"Bajo"</formula>
    </cfRule>
  </conditionalFormatting>
  <conditionalFormatting sqref="AB40">
    <cfRule type="cellIs" dxfId="2311" priority="2656" operator="equal">
      <formula>"Muy Alta"</formula>
    </cfRule>
    <cfRule type="cellIs" dxfId="2310" priority="2657" operator="equal">
      <formula>"Alta"</formula>
    </cfRule>
    <cfRule type="cellIs" dxfId="2309" priority="2658" operator="equal">
      <formula>"Media"</formula>
    </cfRule>
    <cfRule type="cellIs" dxfId="2308" priority="2659" operator="equal">
      <formula>"Baja"</formula>
    </cfRule>
    <cfRule type="cellIs" dxfId="2307" priority="2660" operator="equal">
      <formula>"Muy Baja"</formula>
    </cfRule>
  </conditionalFormatting>
  <conditionalFormatting sqref="AD40">
    <cfRule type="cellIs" dxfId="2306" priority="2651" operator="equal">
      <formula>"Catastrófico"</formula>
    </cfRule>
    <cfRule type="cellIs" dxfId="2305" priority="2652" operator="equal">
      <formula>"Mayor"</formula>
    </cfRule>
    <cfRule type="cellIs" dxfId="2304" priority="2653" operator="equal">
      <formula>"Moderado"</formula>
    </cfRule>
    <cfRule type="cellIs" dxfId="2303" priority="2654" operator="equal">
      <formula>"Menor"</formula>
    </cfRule>
    <cfRule type="cellIs" dxfId="2302" priority="2655" operator="equal">
      <formula>"Leve"</formula>
    </cfRule>
  </conditionalFormatting>
  <conditionalFormatting sqref="AF40">
    <cfRule type="cellIs" dxfId="2301" priority="2647" operator="equal">
      <formula>"Extremo"</formula>
    </cfRule>
    <cfRule type="cellIs" dxfId="2300" priority="2648" operator="equal">
      <formula>"Alto"</formula>
    </cfRule>
    <cfRule type="cellIs" dxfId="2299" priority="2649" operator="equal">
      <formula>"Moderado"</formula>
    </cfRule>
    <cfRule type="cellIs" dxfId="2298" priority="2650" operator="equal">
      <formula>"Bajo"</formula>
    </cfRule>
  </conditionalFormatting>
  <conditionalFormatting sqref="AB41">
    <cfRule type="cellIs" dxfId="2297" priority="2642" operator="equal">
      <formula>"Muy Alta"</formula>
    </cfRule>
    <cfRule type="cellIs" dxfId="2296" priority="2643" operator="equal">
      <formula>"Alta"</formula>
    </cfRule>
    <cfRule type="cellIs" dxfId="2295" priority="2644" operator="equal">
      <formula>"Media"</formula>
    </cfRule>
    <cfRule type="cellIs" dxfId="2294" priority="2645" operator="equal">
      <formula>"Baja"</formula>
    </cfRule>
    <cfRule type="cellIs" dxfId="2293" priority="2646" operator="equal">
      <formula>"Muy Baja"</formula>
    </cfRule>
  </conditionalFormatting>
  <conditionalFormatting sqref="AD41">
    <cfRule type="cellIs" dxfId="2292" priority="2637" operator="equal">
      <formula>"Catastrófico"</formula>
    </cfRule>
    <cfRule type="cellIs" dxfId="2291" priority="2638" operator="equal">
      <formula>"Mayor"</formula>
    </cfRule>
    <cfRule type="cellIs" dxfId="2290" priority="2639" operator="equal">
      <formula>"Moderado"</formula>
    </cfRule>
    <cfRule type="cellIs" dxfId="2289" priority="2640" operator="equal">
      <formula>"Menor"</formula>
    </cfRule>
    <cfRule type="cellIs" dxfId="2288" priority="2641" operator="equal">
      <formula>"Leve"</formula>
    </cfRule>
  </conditionalFormatting>
  <conditionalFormatting sqref="AF41">
    <cfRule type="cellIs" dxfId="2287" priority="2633" operator="equal">
      <formula>"Extremo"</formula>
    </cfRule>
    <cfRule type="cellIs" dxfId="2286" priority="2634" operator="equal">
      <formula>"Alto"</formula>
    </cfRule>
    <cfRule type="cellIs" dxfId="2285" priority="2635" operator="equal">
      <formula>"Moderado"</formula>
    </cfRule>
    <cfRule type="cellIs" dxfId="2284" priority="2636" operator="equal">
      <formula>"Bajo"</formula>
    </cfRule>
  </conditionalFormatting>
  <conditionalFormatting sqref="AB42">
    <cfRule type="cellIs" dxfId="2283" priority="2628" operator="equal">
      <formula>"Muy Alta"</formula>
    </cfRule>
    <cfRule type="cellIs" dxfId="2282" priority="2629" operator="equal">
      <formula>"Alta"</formula>
    </cfRule>
    <cfRule type="cellIs" dxfId="2281" priority="2630" operator="equal">
      <formula>"Media"</formula>
    </cfRule>
    <cfRule type="cellIs" dxfId="2280" priority="2631" operator="equal">
      <formula>"Baja"</formula>
    </cfRule>
    <cfRule type="cellIs" dxfId="2279" priority="2632" operator="equal">
      <formula>"Muy Baja"</formula>
    </cfRule>
  </conditionalFormatting>
  <conditionalFormatting sqref="AD42">
    <cfRule type="cellIs" dxfId="2278" priority="2623" operator="equal">
      <formula>"Catastrófico"</formula>
    </cfRule>
    <cfRule type="cellIs" dxfId="2277" priority="2624" operator="equal">
      <formula>"Mayor"</formula>
    </cfRule>
    <cfRule type="cellIs" dxfId="2276" priority="2625" operator="equal">
      <formula>"Moderado"</formula>
    </cfRule>
    <cfRule type="cellIs" dxfId="2275" priority="2626" operator="equal">
      <formula>"Menor"</formula>
    </cfRule>
    <cfRule type="cellIs" dxfId="2274" priority="2627" operator="equal">
      <formula>"Leve"</formula>
    </cfRule>
  </conditionalFormatting>
  <conditionalFormatting sqref="AF42">
    <cfRule type="cellIs" dxfId="2273" priority="2619" operator="equal">
      <formula>"Extremo"</formula>
    </cfRule>
    <cfRule type="cellIs" dxfId="2272" priority="2620" operator="equal">
      <formula>"Alto"</formula>
    </cfRule>
    <cfRule type="cellIs" dxfId="2271" priority="2621" operator="equal">
      <formula>"Moderado"</formula>
    </cfRule>
    <cfRule type="cellIs" dxfId="2270" priority="2622" operator="equal">
      <formula>"Bajo"</formula>
    </cfRule>
  </conditionalFormatting>
  <conditionalFormatting sqref="AB43">
    <cfRule type="cellIs" dxfId="2269" priority="2572" operator="equal">
      <formula>"Muy Alta"</formula>
    </cfRule>
    <cfRule type="cellIs" dxfId="2268" priority="2573" operator="equal">
      <formula>"Alta"</formula>
    </cfRule>
    <cfRule type="cellIs" dxfId="2267" priority="2574" operator="equal">
      <formula>"Media"</formula>
    </cfRule>
    <cfRule type="cellIs" dxfId="2266" priority="2575" operator="equal">
      <formula>"Baja"</formula>
    </cfRule>
    <cfRule type="cellIs" dxfId="2265" priority="2576" operator="equal">
      <formula>"Muy Baja"</formula>
    </cfRule>
  </conditionalFormatting>
  <conditionalFormatting sqref="AD43">
    <cfRule type="cellIs" dxfId="2264" priority="2567" operator="equal">
      <formula>"Catastrófico"</formula>
    </cfRule>
    <cfRule type="cellIs" dxfId="2263" priority="2568" operator="equal">
      <formula>"Mayor"</formula>
    </cfRule>
    <cfRule type="cellIs" dxfId="2262" priority="2569" operator="equal">
      <formula>"Moderado"</formula>
    </cfRule>
    <cfRule type="cellIs" dxfId="2261" priority="2570" operator="equal">
      <formula>"Menor"</formula>
    </cfRule>
    <cfRule type="cellIs" dxfId="2260" priority="2571" operator="equal">
      <formula>"Leve"</formula>
    </cfRule>
  </conditionalFormatting>
  <conditionalFormatting sqref="AF43">
    <cfRule type="cellIs" dxfId="2259" priority="2563" operator="equal">
      <formula>"Extremo"</formula>
    </cfRule>
    <cfRule type="cellIs" dxfId="2258" priority="2564" operator="equal">
      <formula>"Alto"</formula>
    </cfRule>
    <cfRule type="cellIs" dxfId="2257" priority="2565" operator="equal">
      <formula>"Moderado"</formula>
    </cfRule>
    <cfRule type="cellIs" dxfId="2256" priority="2566" operator="equal">
      <formula>"Bajo"</formula>
    </cfRule>
  </conditionalFormatting>
  <conditionalFormatting sqref="AB46">
    <cfRule type="cellIs" dxfId="2255" priority="2558" operator="equal">
      <formula>"Muy Alta"</formula>
    </cfRule>
    <cfRule type="cellIs" dxfId="2254" priority="2559" operator="equal">
      <formula>"Alta"</formula>
    </cfRule>
    <cfRule type="cellIs" dxfId="2253" priority="2560" operator="equal">
      <formula>"Media"</formula>
    </cfRule>
    <cfRule type="cellIs" dxfId="2252" priority="2561" operator="equal">
      <formula>"Baja"</formula>
    </cfRule>
    <cfRule type="cellIs" dxfId="2251" priority="2562" operator="equal">
      <formula>"Muy Baja"</formula>
    </cfRule>
  </conditionalFormatting>
  <conditionalFormatting sqref="AD46">
    <cfRule type="cellIs" dxfId="2250" priority="2553" operator="equal">
      <formula>"Catastrófico"</formula>
    </cfRule>
    <cfRule type="cellIs" dxfId="2249" priority="2554" operator="equal">
      <formula>"Mayor"</formula>
    </cfRule>
    <cfRule type="cellIs" dxfId="2248" priority="2555" operator="equal">
      <formula>"Moderado"</formula>
    </cfRule>
    <cfRule type="cellIs" dxfId="2247" priority="2556" operator="equal">
      <formula>"Menor"</formula>
    </cfRule>
    <cfRule type="cellIs" dxfId="2246" priority="2557" operator="equal">
      <formula>"Leve"</formula>
    </cfRule>
  </conditionalFormatting>
  <conditionalFormatting sqref="AF46">
    <cfRule type="cellIs" dxfId="2245" priority="2549" operator="equal">
      <formula>"Extremo"</formula>
    </cfRule>
    <cfRule type="cellIs" dxfId="2244" priority="2550" operator="equal">
      <formula>"Alto"</formula>
    </cfRule>
    <cfRule type="cellIs" dxfId="2243" priority="2551" operator="equal">
      <formula>"Moderado"</formula>
    </cfRule>
    <cfRule type="cellIs" dxfId="2242" priority="2552" operator="equal">
      <formula>"Bajo"</formula>
    </cfRule>
  </conditionalFormatting>
  <conditionalFormatting sqref="AB44">
    <cfRule type="cellIs" dxfId="2241" priority="2544" operator="equal">
      <formula>"Muy Alta"</formula>
    </cfRule>
    <cfRule type="cellIs" dxfId="2240" priority="2545" operator="equal">
      <formula>"Alta"</formula>
    </cfRule>
    <cfRule type="cellIs" dxfId="2239" priority="2546" operator="equal">
      <formula>"Media"</formula>
    </cfRule>
    <cfRule type="cellIs" dxfId="2238" priority="2547" operator="equal">
      <formula>"Baja"</formula>
    </cfRule>
    <cfRule type="cellIs" dxfId="2237" priority="2548" operator="equal">
      <formula>"Muy Baja"</formula>
    </cfRule>
  </conditionalFormatting>
  <conditionalFormatting sqref="AD44">
    <cfRule type="cellIs" dxfId="2236" priority="2539" operator="equal">
      <formula>"Catastrófico"</formula>
    </cfRule>
    <cfRule type="cellIs" dxfId="2235" priority="2540" operator="equal">
      <formula>"Mayor"</formula>
    </cfRule>
    <cfRule type="cellIs" dxfId="2234" priority="2541" operator="equal">
      <formula>"Moderado"</formula>
    </cfRule>
    <cfRule type="cellIs" dxfId="2233" priority="2542" operator="equal">
      <formula>"Menor"</formula>
    </cfRule>
    <cfRule type="cellIs" dxfId="2232" priority="2543" operator="equal">
      <formula>"Leve"</formula>
    </cfRule>
  </conditionalFormatting>
  <conditionalFormatting sqref="AF44">
    <cfRule type="cellIs" dxfId="2231" priority="2535" operator="equal">
      <formula>"Extremo"</formula>
    </cfRule>
    <cfRule type="cellIs" dxfId="2230" priority="2536" operator="equal">
      <formula>"Alto"</formula>
    </cfRule>
    <cfRule type="cellIs" dxfId="2229" priority="2537" operator="equal">
      <formula>"Moderado"</formula>
    </cfRule>
    <cfRule type="cellIs" dxfId="2228" priority="2538" operator="equal">
      <formula>"Bajo"</formula>
    </cfRule>
  </conditionalFormatting>
  <conditionalFormatting sqref="AB45">
    <cfRule type="cellIs" dxfId="2227" priority="2530" operator="equal">
      <formula>"Muy Alta"</formula>
    </cfRule>
    <cfRule type="cellIs" dxfId="2226" priority="2531" operator="equal">
      <formula>"Alta"</formula>
    </cfRule>
    <cfRule type="cellIs" dxfId="2225" priority="2532" operator="equal">
      <formula>"Media"</formula>
    </cfRule>
    <cfRule type="cellIs" dxfId="2224" priority="2533" operator="equal">
      <formula>"Baja"</formula>
    </cfRule>
    <cfRule type="cellIs" dxfId="2223" priority="2534" operator="equal">
      <formula>"Muy Baja"</formula>
    </cfRule>
  </conditionalFormatting>
  <conditionalFormatting sqref="AD45">
    <cfRule type="cellIs" dxfId="2222" priority="2525" operator="equal">
      <formula>"Catastrófico"</formula>
    </cfRule>
    <cfRule type="cellIs" dxfId="2221" priority="2526" operator="equal">
      <formula>"Mayor"</formula>
    </cfRule>
    <cfRule type="cellIs" dxfId="2220" priority="2527" operator="equal">
      <formula>"Moderado"</formula>
    </cfRule>
    <cfRule type="cellIs" dxfId="2219" priority="2528" operator="equal">
      <formula>"Menor"</formula>
    </cfRule>
    <cfRule type="cellIs" dxfId="2218" priority="2529" operator="equal">
      <formula>"Leve"</formula>
    </cfRule>
  </conditionalFormatting>
  <conditionalFormatting sqref="AF45">
    <cfRule type="cellIs" dxfId="2217" priority="2521" operator="equal">
      <formula>"Extremo"</formula>
    </cfRule>
    <cfRule type="cellIs" dxfId="2216" priority="2522" operator="equal">
      <formula>"Alto"</formula>
    </cfRule>
    <cfRule type="cellIs" dxfId="2215" priority="2523" operator="equal">
      <formula>"Moderado"</formula>
    </cfRule>
    <cfRule type="cellIs" dxfId="2214" priority="2524" operator="equal">
      <formula>"Bajo"</formula>
    </cfRule>
  </conditionalFormatting>
  <conditionalFormatting sqref="AB47">
    <cfRule type="cellIs" dxfId="2213" priority="2516" operator="equal">
      <formula>"Muy Alta"</formula>
    </cfRule>
    <cfRule type="cellIs" dxfId="2212" priority="2517" operator="equal">
      <formula>"Alta"</formula>
    </cfRule>
    <cfRule type="cellIs" dxfId="2211" priority="2518" operator="equal">
      <formula>"Media"</formula>
    </cfRule>
    <cfRule type="cellIs" dxfId="2210" priority="2519" operator="equal">
      <formula>"Baja"</formula>
    </cfRule>
    <cfRule type="cellIs" dxfId="2209" priority="2520" operator="equal">
      <formula>"Muy Baja"</formula>
    </cfRule>
  </conditionalFormatting>
  <conditionalFormatting sqref="AD47">
    <cfRule type="cellIs" dxfId="2208" priority="2511" operator="equal">
      <formula>"Catastrófico"</formula>
    </cfRule>
    <cfRule type="cellIs" dxfId="2207" priority="2512" operator="equal">
      <formula>"Mayor"</formula>
    </cfRule>
    <cfRule type="cellIs" dxfId="2206" priority="2513" operator="equal">
      <formula>"Moderado"</formula>
    </cfRule>
    <cfRule type="cellIs" dxfId="2205" priority="2514" operator="equal">
      <formula>"Menor"</formula>
    </cfRule>
    <cfRule type="cellIs" dxfId="2204" priority="2515" operator="equal">
      <formula>"Leve"</formula>
    </cfRule>
  </conditionalFormatting>
  <conditionalFormatting sqref="AF47">
    <cfRule type="cellIs" dxfId="2203" priority="2507" operator="equal">
      <formula>"Extremo"</formula>
    </cfRule>
    <cfRule type="cellIs" dxfId="2202" priority="2508" operator="equal">
      <formula>"Alto"</formula>
    </cfRule>
    <cfRule type="cellIs" dxfId="2201" priority="2509" operator="equal">
      <formula>"Moderado"</formula>
    </cfRule>
    <cfRule type="cellIs" dxfId="2200" priority="2510" operator="equal">
      <formula>"Bajo"</formula>
    </cfRule>
  </conditionalFormatting>
  <conditionalFormatting sqref="AB48">
    <cfRule type="cellIs" dxfId="2199" priority="2502" operator="equal">
      <formula>"Muy Alta"</formula>
    </cfRule>
    <cfRule type="cellIs" dxfId="2198" priority="2503" operator="equal">
      <formula>"Alta"</formula>
    </cfRule>
    <cfRule type="cellIs" dxfId="2197" priority="2504" operator="equal">
      <formula>"Media"</formula>
    </cfRule>
    <cfRule type="cellIs" dxfId="2196" priority="2505" operator="equal">
      <formula>"Baja"</formula>
    </cfRule>
    <cfRule type="cellIs" dxfId="2195" priority="2506" operator="equal">
      <formula>"Muy Baja"</formula>
    </cfRule>
  </conditionalFormatting>
  <conditionalFormatting sqref="AD48">
    <cfRule type="cellIs" dxfId="2194" priority="2497" operator="equal">
      <formula>"Catastrófico"</formula>
    </cfRule>
    <cfRule type="cellIs" dxfId="2193" priority="2498" operator="equal">
      <formula>"Mayor"</formula>
    </cfRule>
    <cfRule type="cellIs" dxfId="2192" priority="2499" operator="equal">
      <formula>"Moderado"</formula>
    </cfRule>
    <cfRule type="cellIs" dxfId="2191" priority="2500" operator="equal">
      <formula>"Menor"</formula>
    </cfRule>
    <cfRule type="cellIs" dxfId="2190" priority="2501" operator="equal">
      <formula>"Leve"</formula>
    </cfRule>
  </conditionalFormatting>
  <conditionalFormatting sqref="AF48">
    <cfRule type="cellIs" dxfId="2189" priority="2493" operator="equal">
      <formula>"Extremo"</formula>
    </cfRule>
    <cfRule type="cellIs" dxfId="2188" priority="2494" operator="equal">
      <formula>"Alto"</formula>
    </cfRule>
    <cfRule type="cellIs" dxfId="2187" priority="2495" operator="equal">
      <formula>"Moderado"</formula>
    </cfRule>
    <cfRule type="cellIs" dxfId="2186" priority="2496" operator="equal">
      <formula>"Bajo"</formula>
    </cfRule>
  </conditionalFormatting>
  <conditionalFormatting sqref="AB50">
    <cfRule type="cellIs" dxfId="2185" priority="2488" operator="equal">
      <formula>"Muy Alta"</formula>
    </cfRule>
    <cfRule type="cellIs" dxfId="2184" priority="2489" operator="equal">
      <formula>"Alta"</formula>
    </cfRule>
    <cfRule type="cellIs" dxfId="2183" priority="2490" operator="equal">
      <formula>"Media"</formula>
    </cfRule>
    <cfRule type="cellIs" dxfId="2182" priority="2491" operator="equal">
      <formula>"Baja"</formula>
    </cfRule>
    <cfRule type="cellIs" dxfId="2181" priority="2492" operator="equal">
      <formula>"Muy Baja"</formula>
    </cfRule>
  </conditionalFormatting>
  <conditionalFormatting sqref="AD50">
    <cfRule type="cellIs" dxfId="2180" priority="2483" operator="equal">
      <formula>"Catastrófico"</formula>
    </cfRule>
    <cfRule type="cellIs" dxfId="2179" priority="2484" operator="equal">
      <formula>"Mayor"</formula>
    </cfRule>
    <cfRule type="cellIs" dxfId="2178" priority="2485" operator="equal">
      <formula>"Moderado"</formula>
    </cfRule>
    <cfRule type="cellIs" dxfId="2177" priority="2486" operator="equal">
      <formula>"Menor"</formula>
    </cfRule>
    <cfRule type="cellIs" dxfId="2176" priority="2487" operator="equal">
      <formula>"Leve"</formula>
    </cfRule>
  </conditionalFormatting>
  <conditionalFormatting sqref="AB52">
    <cfRule type="cellIs" dxfId="2175" priority="2474" operator="equal">
      <formula>"Muy Alta"</formula>
    </cfRule>
    <cfRule type="cellIs" dxfId="2174" priority="2475" operator="equal">
      <formula>"Alta"</formula>
    </cfRule>
    <cfRule type="cellIs" dxfId="2173" priority="2476" operator="equal">
      <formula>"Media"</formula>
    </cfRule>
    <cfRule type="cellIs" dxfId="2172" priority="2477" operator="equal">
      <formula>"Baja"</formula>
    </cfRule>
    <cfRule type="cellIs" dxfId="2171" priority="2478" operator="equal">
      <formula>"Muy Baja"</formula>
    </cfRule>
  </conditionalFormatting>
  <conditionalFormatting sqref="AB51">
    <cfRule type="cellIs" dxfId="2170" priority="2460" operator="equal">
      <formula>"Muy Alta"</formula>
    </cfRule>
    <cfRule type="cellIs" dxfId="2169" priority="2461" operator="equal">
      <formula>"Alta"</formula>
    </cfRule>
    <cfRule type="cellIs" dxfId="2168" priority="2462" operator="equal">
      <formula>"Media"</formula>
    </cfRule>
    <cfRule type="cellIs" dxfId="2167" priority="2463" operator="equal">
      <formula>"Baja"</formula>
    </cfRule>
    <cfRule type="cellIs" dxfId="2166" priority="2464" operator="equal">
      <formula>"Muy Baja"</formula>
    </cfRule>
  </conditionalFormatting>
  <conditionalFormatting sqref="AD51">
    <cfRule type="cellIs" dxfId="2165" priority="2455" operator="equal">
      <formula>"Catastrófico"</formula>
    </cfRule>
    <cfRule type="cellIs" dxfId="2164" priority="2456" operator="equal">
      <formula>"Mayor"</formula>
    </cfRule>
    <cfRule type="cellIs" dxfId="2163" priority="2457" operator="equal">
      <formula>"Moderado"</formula>
    </cfRule>
    <cfRule type="cellIs" dxfId="2162" priority="2458" operator="equal">
      <formula>"Menor"</formula>
    </cfRule>
    <cfRule type="cellIs" dxfId="2161" priority="2459" operator="equal">
      <formula>"Leve"</formula>
    </cfRule>
  </conditionalFormatting>
  <conditionalFormatting sqref="AF51">
    <cfRule type="cellIs" dxfId="2160" priority="2451" operator="equal">
      <formula>"Extremo"</formula>
    </cfRule>
    <cfRule type="cellIs" dxfId="2159" priority="2452" operator="equal">
      <formula>"Alto"</formula>
    </cfRule>
    <cfRule type="cellIs" dxfId="2158" priority="2453" operator="equal">
      <formula>"Moderado"</formula>
    </cfRule>
    <cfRule type="cellIs" dxfId="2157" priority="2454" operator="equal">
      <formula>"Bajo"</formula>
    </cfRule>
  </conditionalFormatting>
  <conditionalFormatting sqref="AB53">
    <cfRule type="cellIs" dxfId="2156" priority="2446" operator="equal">
      <formula>"Muy Alta"</formula>
    </cfRule>
    <cfRule type="cellIs" dxfId="2155" priority="2447" operator="equal">
      <formula>"Alta"</formula>
    </cfRule>
    <cfRule type="cellIs" dxfId="2154" priority="2448" operator="equal">
      <formula>"Media"</formula>
    </cfRule>
    <cfRule type="cellIs" dxfId="2153" priority="2449" operator="equal">
      <formula>"Baja"</formula>
    </cfRule>
    <cfRule type="cellIs" dxfId="2152" priority="2450" operator="equal">
      <formula>"Muy Baja"</formula>
    </cfRule>
  </conditionalFormatting>
  <conditionalFormatting sqref="AD53">
    <cfRule type="cellIs" dxfId="2151" priority="2441" operator="equal">
      <formula>"Catastrófico"</formula>
    </cfRule>
    <cfRule type="cellIs" dxfId="2150" priority="2442" operator="equal">
      <formula>"Mayor"</formula>
    </cfRule>
    <cfRule type="cellIs" dxfId="2149" priority="2443" operator="equal">
      <formula>"Moderado"</formula>
    </cfRule>
    <cfRule type="cellIs" dxfId="2148" priority="2444" operator="equal">
      <formula>"Menor"</formula>
    </cfRule>
    <cfRule type="cellIs" dxfId="2147" priority="2445" operator="equal">
      <formula>"Leve"</formula>
    </cfRule>
  </conditionalFormatting>
  <conditionalFormatting sqref="AF53">
    <cfRule type="cellIs" dxfId="2146" priority="2437" operator="equal">
      <formula>"Extremo"</formula>
    </cfRule>
    <cfRule type="cellIs" dxfId="2145" priority="2438" operator="equal">
      <formula>"Alto"</formula>
    </cfRule>
    <cfRule type="cellIs" dxfId="2144" priority="2439" operator="equal">
      <formula>"Moderado"</formula>
    </cfRule>
    <cfRule type="cellIs" dxfId="2143" priority="2440" operator="equal">
      <formula>"Bajo"</formula>
    </cfRule>
  </conditionalFormatting>
  <conditionalFormatting sqref="AB54">
    <cfRule type="cellIs" dxfId="2142" priority="2432" operator="equal">
      <formula>"Muy Alta"</formula>
    </cfRule>
    <cfRule type="cellIs" dxfId="2141" priority="2433" operator="equal">
      <formula>"Alta"</formula>
    </cfRule>
    <cfRule type="cellIs" dxfId="2140" priority="2434" operator="equal">
      <formula>"Media"</formula>
    </cfRule>
    <cfRule type="cellIs" dxfId="2139" priority="2435" operator="equal">
      <formula>"Baja"</formula>
    </cfRule>
    <cfRule type="cellIs" dxfId="2138" priority="2436" operator="equal">
      <formula>"Muy Baja"</formula>
    </cfRule>
  </conditionalFormatting>
  <conditionalFormatting sqref="AD54">
    <cfRule type="cellIs" dxfId="2137" priority="2427" operator="equal">
      <formula>"Catastrófico"</formula>
    </cfRule>
    <cfRule type="cellIs" dxfId="2136" priority="2428" operator="equal">
      <formula>"Mayor"</formula>
    </cfRule>
    <cfRule type="cellIs" dxfId="2135" priority="2429" operator="equal">
      <formula>"Moderado"</formula>
    </cfRule>
    <cfRule type="cellIs" dxfId="2134" priority="2430" operator="equal">
      <formula>"Menor"</formula>
    </cfRule>
    <cfRule type="cellIs" dxfId="2133" priority="2431" operator="equal">
      <formula>"Leve"</formula>
    </cfRule>
  </conditionalFormatting>
  <conditionalFormatting sqref="AF54">
    <cfRule type="cellIs" dxfId="2132" priority="2423" operator="equal">
      <formula>"Extremo"</formula>
    </cfRule>
    <cfRule type="cellIs" dxfId="2131" priority="2424" operator="equal">
      <formula>"Alto"</formula>
    </cfRule>
    <cfRule type="cellIs" dxfId="2130" priority="2425" operator="equal">
      <formula>"Moderado"</formula>
    </cfRule>
    <cfRule type="cellIs" dxfId="2129" priority="2426" operator="equal">
      <formula>"Bajo"</formula>
    </cfRule>
  </conditionalFormatting>
  <conditionalFormatting sqref="AB56">
    <cfRule type="cellIs" dxfId="2128" priority="2418" operator="equal">
      <formula>"Muy Alta"</formula>
    </cfRule>
    <cfRule type="cellIs" dxfId="2127" priority="2419" operator="equal">
      <formula>"Alta"</formula>
    </cfRule>
    <cfRule type="cellIs" dxfId="2126" priority="2420" operator="equal">
      <formula>"Media"</formula>
    </cfRule>
    <cfRule type="cellIs" dxfId="2125" priority="2421" operator="equal">
      <formula>"Baja"</formula>
    </cfRule>
    <cfRule type="cellIs" dxfId="2124" priority="2422" operator="equal">
      <formula>"Muy Baja"</formula>
    </cfRule>
  </conditionalFormatting>
  <conditionalFormatting sqref="AD56">
    <cfRule type="cellIs" dxfId="2123" priority="2413" operator="equal">
      <formula>"Catastrófico"</formula>
    </cfRule>
    <cfRule type="cellIs" dxfId="2122" priority="2414" operator="equal">
      <formula>"Mayor"</formula>
    </cfRule>
    <cfRule type="cellIs" dxfId="2121" priority="2415" operator="equal">
      <formula>"Moderado"</formula>
    </cfRule>
    <cfRule type="cellIs" dxfId="2120" priority="2416" operator="equal">
      <formula>"Menor"</formula>
    </cfRule>
    <cfRule type="cellIs" dxfId="2119" priority="2417" operator="equal">
      <formula>"Leve"</formula>
    </cfRule>
  </conditionalFormatting>
  <conditionalFormatting sqref="AF56">
    <cfRule type="cellIs" dxfId="2118" priority="2409" operator="equal">
      <formula>"Extremo"</formula>
    </cfRule>
    <cfRule type="cellIs" dxfId="2117" priority="2410" operator="equal">
      <formula>"Alto"</formula>
    </cfRule>
    <cfRule type="cellIs" dxfId="2116" priority="2411" operator="equal">
      <formula>"Moderado"</formula>
    </cfRule>
    <cfRule type="cellIs" dxfId="2115" priority="2412" operator="equal">
      <formula>"Bajo"</formula>
    </cfRule>
  </conditionalFormatting>
  <conditionalFormatting sqref="AB57">
    <cfRule type="cellIs" dxfId="2114" priority="2404" operator="equal">
      <formula>"Muy Alta"</formula>
    </cfRule>
    <cfRule type="cellIs" dxfId="2113" priority="2405" operator="equal">
      <formula>"Alta"</formula>
    </cfRule>
    <cfRule type="cellIs" dxfId="2112" priority="2406" operator="equal">
      <formula>"Media"</formula>
    </cfRule>
    <cfRule type="cellIs" dxfId="2111" priority="2407" operator="equal">
      <formula>"Baja"</formula>
    </cfRule>
    <cfRule type="cellIs" dxfId="2110" priority="2408" operator="equal">
      <formula>"Muy Baja"</formula>
    </cfRule>
  </conditionalFormatting>
  <conditionalFormatting sqref="AD57">
    <cfRule type="cellIs" dxfId="2109" priority="2399" operator="equal">
      <formula>"Catastrófico"</formula>
    </cfRule>
    <cfRule type="cellIs" dxfId="2108" priority="2400" operator="equal">
      <formula>"Mayor"</formula>
    </cfRule>
    <cfRule type="cellIs" dxfId="2107" priority="2401" operator="equal">
      <formula>"Moderado"</formula>
    </cfRule>
    <cfRule type="cellIs" dxfId="2106" priority="2402" operator="equal">
      <formula>"Menor"</formula>
    </cfRule>
    <cfRule type="cellIs" dxfId="2105" priority="2403" operator="equal">
      <formula>"Leve"</formula>
    </cfRule>
  </conditionalFormatting>
  <conditionalFormatting sqref="AF57">
    <cfRule type="cellIs" dxfId="2104" priority="2395" operator="equal">
      <formula>"Extremo"</formula>
    </cfRule>
    <cfRule type="cellIs" dxfId="2103" priority="2396" operator="equal">
      <formula>"Alto"</formula>
    </cfRule>
    <cfRule type="cellIs" dxfId="2102" priority="2397" operator="equal">
      <formula>"Moderado"</formula>
    </cfRule>
    <cfRule type="cellIs" dxfId="2101" priority="2398" operator="equal">
      <formula>"Bajo"</formula>
    </cfRule>
  </conditionalFormatting>
  <conditionalFormatting sqref="AB59">
    <cfRule type="cellIs" dxfId="2100" priority="2390" operator="equal">
      <formula>"Muy Alta"</formula>
    </cfRule>
    <cfRule type="cellIs" dxfId="2099" priority="2391" operator="equal">
      <formula>"Alta"</formula>
    </cfRule>
    <cfRule type="cellIs" dxfId="2098" priority="2392" operator="equal">
      <formula>"Media"</formula>
    </cfRule>
    <cfRule type="cellIs" dxfId="2097" priority="2393" operator="equal">
      <formula>"Baja"</formula>
    </cfRule>
    <cfRule type="cellIs" dxfId="2096" priority="2394" operator="equal">
      <formula>"Muy Baja"</formula>
    </cfRule>
  </conditionalFormatting>
  <conditionalFormatting sqref="AD59">
    <cfRule type="cellIs" dxfId="2095" priority="2385" operator="equal">
      <formula>"Catastrófico"</formula>
    </cfRule>
    <cfRule type="cellIs" dxfId="2094" priority="2386" operator="equal">
      <formula>"Mayor"</formula>
    </cfRule>
    <cfRule type="cellIs" dxfId="2093" priority="2387" operator="equal">
      <formula>"Moderado"</formula>
    </cfRule>
    <cfRule type="cellIs" dxfId="2092" priority="2388" operator="equal">
      <formula>"Menor"</formula>
    </cfRule>
    <cfRule type="cellIs" dxfId="2091" priority="2389" operator="equal">
      <formula>"Leve"</formula>
    </cfRule>
  </conditionalFormatting>
  <conditionalFormatting sqref="AF59">
    <cfRule type="cellIs" dxfId="2090" priority="2381" operator="equal">
      <formula>"Extremo"</formula>
    </cfRule>
    <cfRule type="cellIs" dxfId="2089" priority="2382" operator="equal">
      <formula>"Alto"</formula>
    </cfRule>
    <cfRule type="cellIs" dxfId="2088" priority="2383" operator="equal">
      <formula>"Moderado"</formula>
    </cfRule>
    <cfRule type="cellIs" dxfId="2087" priority="2384" operator="equal">
      <formula>"Bajo"</formula>
    </cfRule>
  </conditionalFormatting>
  <conditionalFormatting sqref="AB60">
    <cfRule type="cellIs" dxfId="2086" priority="2376" operator="equal">
      <formula>"Muy Alta"</formula>
    </cfRule>
    <cfRule type="cellIs" dxfId="2085" priority="2377" operator="equal">
      <formula>"Alta"</formula>
    </cfRule>
    <cfRule type="cellIs" dxfId="2084" priority="2378" operator="equal">
      <formula>"Media"</formula>
    </cfRule>
    <cfRule type="cellIs" dxfId="2083" priority="2379" operator="equal">
      <formula>"Baja"</formula>
    </cfRule>
    <cfRule type="cellIs" dxfId="2082" priority="2380" operator="equal">
      <formula>"Muy Baja"</formula>
    </cfRule>
  </conditionalFormatting>
  <conditionalFormatting sqref="AD60">
    <cfRule type="cellIs" dxfId="2081" priority="2371" operator="equal">
      <formula>"Catastrófico"</formula>
    </cfRule>
    <cfRule type="cellIs" dxfId="2080" priority="2372" operator="equal">
      <formula>"Mayor"</formula>
    </cfRule>
    <cfRule type="cellIs" dxfId="2079" priority="2373" operator="equal">
      <formula>"Moderado"</formula>
    </cfRule>
    <cfRule type="cellIs" dxfId="2078" priority="2374" operator="equal">
      <formula>"Menor"</formula>
    </cfRule>
    <cfRule type="cellIs" dxfId="2077" priority="2375" operator="equal">
      <formula>"Leve"</formula>
    </cfRule>
  </conditionalFormatting>
  <conditionalFormatting sqref="AF60">
    <cfRule type="cellIs" dxfId="2076" priority="2367" operator="equal">
      <formula>"Extremo"</formula>
    </cfRule>
    <cfRule type="cellIs" dxfId="2075" priority="2368" operator="equal">
      <formula>"Alto"</formula>
    </cfRule>
    <cfRule type="cellIs" dxfId="2074" priority="2369" operator="equal">
      <formula>"Moderado"</formula>
    </cfRule>
    <cfRule type="cellIs" dxfId="2073" priority="2370" operator="equal">
      <formula>"Bajo"</formula>
    </cfRule>
  </conditionalFormatting>
  <conditionalFormatting sqref="AB62">
    <cfRule type="cellIs" dxfId="2072" priority="2362" operator="equal">
      <formula>"Muy Alta"</formula>
    </cfRule>
    <cfRule type="cellIs" dxfId="2071" priority="2363" operator="equal">
      <formula>"Alta"</formula>
    </cfRule>
    <cfRule type="cellIs" dxfId="2070" priority="2364" operator="equal">
      <formula>"Media"</formula>
    </cfRule>
    <cfRule type="cellIs" dxfId="2069" priority="2365" operator="equal">
      <formula>"Baja"</formula>
    </cfRule>
    <cfRule type="cellIs" dxfId="2068" priority="2366" operator="equal">
      <formula>"Muy Baja"</formula>
    </cfRule>
  </conditionalFormatting>
  <conditionalFormatting sqref="AD62">
    <cfRule type="cellIs" dxfId="2067" priority="2357" operator="equal">
      <formula>"Catastrófico"</formula>
    </cfRule>
    <cfRule type="cellIs" dxfId="2066" priority="2358" operator="equal">
      <formula>"Mayor"</formula>
    </cfRule>
    <cfRule type="cellIs" dxfId="2065" priority="2359" operator="equal">
      <formula>"Moderado"</formula>
    </cfRule>
    <cfRule type="cellIs" dxfId="2064" priority="2360" operator="equal">
      <formula>"Menor"</formula>
    </cfRule>
    <cfRule type="cellIs" dxfId="2063" priority="2361" operator="equal">
      <formula>"Leve"</formula>
    </cfRule>
  </conditionalFormatting>
  <conditionalFormatting sqref="AF62">
    <cfRule type="cellIs" dxfId="2062" priority="2353" operator="equal">
      <formula>"Extremo"</formula>
    </cfRule>
    <cfRule type="cellIs" dxfId="2061" priority="2354" operator="equal">
      <formula>"Alto"</formula>
    </cfRule>
    <cfRule type="cellIs" dxfId="2060" priority="2355" operator="equal">
      <formula>"Moderado"</formula>
    </cfRule>
    <cfRule type="cellIs" dxfId="2059" priority="2356" operator="equal">
      <formula>"Bajo"</formula>
    </cfRule>
  </conditionalFormatting>
  <conditionalFormatting sqref="AB63">
    <cfRule type="cellIs" dxfId="2058" priority="2348" operator="equal">
      <formula>"Muy Alta"</formula>
    </cfRule>
    <cfRule type="cellIs" dxfId="2057" priority="2349" operator="equal">
      <formula>"Alta"</formula>
    </cfRule>
    <cfRule type="cellIs" dxfId="2056" priority="2350" operator="equal">
      <formula>"Media"</formula>
    </cfRule>
    <cfRule type="cellIs" dxfId="2055" priority="2351" operator="equal">
      <formula>"Baja"</formula>
    </cfRule>
    <cfRule type="cellIs" dxfId="2054" priority="2352" operator="equal">
      <formula>"Muy Baja"</formula>
    </cfRule>
  </conditionalFormatting>
  <conditionalFormatting sqref="AD63">
    <cfRule type="cellIs" dxfId="2053" priority="2343" operator="equal">
      <formula>"Catastrófico"</formula>
    </cfRule>
    <cfRule type="cellIs" dxfId="2052" priority="2344" operator="equal">
      <formula>"Mayor"</formula>
    </cfRule>
    <cfRule type="cellIs" dxfId="2051" priority="2345" operator="equal">
      <formula>"Moderado"</formula>
    </cfRule>
    <cfRule type="cellIs" dxfId="2050" priority="2346" operator="equal">
      <formula>"Menor"</formula>
    </cfRule>
    <cfRule type="cellIs" dxfId="2049" priority="2347" operator="equal">
      <formula>"Leve"</formula>
    </cfRule>
  </conditionalFormatting>
  <conditionalFormatting sqref="AF63">
    <cfRule type="cellIs" dxfId="2048" priority="2339" operator="equal">
      <formula>"Extremo"</formula>
    </cfRule>
    <cfRule type="cellIs" dxfId="2047" priority="2340" operator="equal">
      <formula>"Alto"</formula>
    </cfRule>
    <cfRule type="cellIs" dxfId="2046" priority="2341" operator="equal">
      <formula>"Moderado"</formula>
    </cfRule>
    <cfRule type="cellIs" dxfId="2045" priority="2342" operator="equal">
      <formula>"Bajo"</formula>
    </cfRule>
  </conditionalFormatting>
  <conditionalFormatting sqref="AB65">
    <cfRule type="cellIs" dxfId="2044" priority="2334" operator="equal">
      <formula>"Muy Alta"</formula>
    </cfRule>
    <cfRule type="cellIs" dxfId="2043" priority="2335" operator="equal">
      <formula>"Alta"</formula>
    </cfRule>
    <cfRule type="cellIs" dxfId="2042" priority="2336" operator="equal">
      <formula>"Media"</formula>
    </cfRule>
    <cfRule type="cellIs" dxfId="2041" priority="2337" operator="equal">
      <formula>"Baja"</formula>
    </cfRule>
    <cfRule type="cellIs" dxfId="2040" priority="2338" operator="equal">
      <formula>"Muy Baja"</formula>
    </cfRule>
  </conditionalFormatting>
  <conditionalFormatting sqref="AD65">
    <cfRule type="cellIs" dxfId="2039" priority="2329" operator="equal">
      <formula>"Catastrófico"</formula>
    </cfRule>
    <cfRule type="cellIs" dxfId="2038" priority="2330" operator="equal">
      <formula>"Mayor"</formula>
    </cfRule>
    <cfRule type="cellIs" dxfId="2037" priority="2331" operator="equal">
      <formula>"Moderado"</formula>
    </cfRule>
    <cfRule type="cellIs" dxfId="2036" priority="2332" operator="equal">
      <formula>"Menor"</formula>
    </cfRule>
    <cfRule type="cellIs" dxfId="2035" priority="2333" operator="equal">
      <formula>"Leve"</formula>
    </cfRule>
  </conditionalFormatting>
  <conditionalFormatting sqref="AF65">
    <cfRule type="cellIs" dxfId="2034" priority="2325" operator="equal">
      <formula>"Extremo"</formula>
    </cfRule>
    <cfRule type="cellIs" dxfId="2033" priority="2326" operator="equal">
      <formula>"Alto"</formula>
    </cfRule>
    <cfRule type="cellIs" dxfId="2032" priority="2327" operator="equal">
      <formula>"Moderado"</formula>
    </cfRule>
    <cfRule type="cellIs" dxfId="2031" priority="2328" operator="equal">
      <formula>"Bajo"</formula>
    </cfRule>
  </conditionalFormatting>
  <conditionalFormatting sqref="AB66">
    <cfRule type="cellIs" dxfId="2030" priority="2320" operator="equal">
      <formula>"Muy Alta"</formula>
    </cfRule>
    <cfRule type="cellIs" dxfId="2029" priority="2321" operator="equal">
      <formula>"Alta"</formula>
    </cfRule>
    <cfRule type="cellIs" dxfId="2028" priority="2322" operator="equal">
      <formula>"Media"</formula>
    </cfRule>
    <cfRule type="cellIs" dxfId="2027" priority="2323" operator="equal">
      <formula>"Baja"</formula>
    </cfRule>
    <cfRule type="cellIs" dxfId="2026" priority="2324" operator="equal">
      <formula>"Muy Baja"</formula>
    </cfRule>
  </conditionalFormatting>
  <conditionalFormatting sqref="AD66">
    <cfRule type="cellIs" dxfId="2025" priority="2315" operator="equal">
      <formula>"Catastrófico"</formula>
    </cfRule>
    <cfRule type="cellIs" dxfId="2024" priority="2316" operator="equal">
      <formula>"Mayor"</formula>
    </cfRule>
    <cfRule type="cellIs" dxfId="2023" priority="2317" operator="equal">
      <formula>"Moderado"</formula>
    </cfRule>
    <cfRule type="cellIs" dxfId="2022" priority="2318" operator="equal">
      <formula>"Menor"</formula>
    </cfRule>
    <cfRule type="cellIs" dxfId="2021" priority="2319" operator="equal">
      <formula>"Leve"</formula>
    </cfRule>
  </conditionalFormatting>
  <conditionalFormatting sqref="AF66">
    <cfRule type="cellIs" dxfId="2020" priority="2311" operator="equal">
      <formula>"Extremo"</formula>
    </cfRule>
    <cfRule type="cellIs" dxfId="2019" priority="2312" operator="equal">
      <formula>"Alto"</formula>
    </cfRule>
    <cfRule type="cellIs" dxfId="2018" priority="2313" operator="equal">
      <formula>"Moderado"</formula>
    </cfRule>
    <cfRule type="cellIs" dxfId="2017" priority="2314" operator="equal">
      <formula>"Bajo"</formula>
    </cfRule>
  </conditionalFormatting>
  <conditionalFormatting sqref="AB68">
    <cfRule type="cellIs" dxfId="2016" priority="2306" operator="equal">
      <formula>"Muy Alta"</formula>
    </cfRule>
    <cfRule type="cellIs" dxfId="2015" priority="2307" operator="equal">
      <formula>"Alta"</formula>
    </cfRule>
    <cfRule type="cellIs" dxfId="2014" priority="2308" operator="equal">
      <formula>"Media"</formula>
    </cfRule>
    <cfRule type="cellIs" dxfId="2013" priority="2309" operator="equal">
      <formula>"Baja"</formula>
    </cfRule>
    <cfRule type="cellIs" dxfId="2012" priority="2310" operator="equal">
      <formula>"Muy Baja"</formula>
    </cfRule>
  </conditionalFormatting>
  <conditionalFormatting sqref="AD68">
    <cfRule type="cellIs" dxfId="2011" priority="2301" operator="equal">
      <formula>"Catastrófico"</formula>
    </cfRule>
    <cfRule type="cellIs" dxfId="2010" priority="2302" operator="equal">
      <formula>"Mayor"</formula>
    </cfRule>
    <cfRule type="cellIs" dxfId="2009" priority="2303" operator="equal">
      <formula>"Moderado"</formula>
    </cfRule>
    <cfRule type="cellIs" dxfId="2008" priority="2304" operator="equal">
      <formula>"Menor"</formula>
    </cfRule>
    <cfRule type="cellIs" dxfId="2007" priority="2305" operator="equal">
      <formula>"Leve"</formula>
    </cfRule>
  </conditionalFormatting>
  <conditionalFormatting sqref="AF68">
    <cfRule type="cellIs" dxfId="2006" priority="2297" operator="equal">
      <formula>"Extremo"</formula>
    </cfRule>
    <cfRule type="cellIs" dxfId="2005" priority="2298" operator="equal">
      <formula>"Alto"</formula>
    </cfRule>
    <cfRule type="cellIs" dxfId="2004" priority="2299" operator="equal">
      <formula>"Moderado"</formula>
    </cfRule>
    <cfRule type="cellIs" dxfId="2003" priority="2300" operator="equal">
      <formula>"Bajo"</formula>
    </cfRule>
  </conditionalFormatting>
  <conditionalFormatting sqref="AB69">
    <cfRule type="cellIs" dxfId="2002" priority="2292" operator="equal">
      <formula>"Muy Alta"</formula>
    </cfRule>
    <cfRule type="cellIs" dxfId="2001" priority="2293" operator="equal">
      <formula>"Alta"</formula>
    </cfRule>
    <cfRule type="cellIs" dxfId="2000" priority="2294" operator="equal">
      <formula>"Media"</formula>
    </cfRule>
    <cfRule type="cellIs" dxfId="1999" priority="2295" operator="equal">
      <formula>"Baja"</formula>
    </cfRule>
    <cfRule type="cellIs" dxfId="1998" priority="2296" operator="equal">
      <formula>"Muy Baja"</formula>
    </cfRule>
  </conditionalFormatting>
  <conditionalFormatting sqref="AD69">
    <cfRule type="cellIs" dxfId="1997" priority="2287" operator="equal">
      <formula>"Catastrófico"</formula>
    </cfRule>
    <cfRule type="cellIs" dxfId="1996" priority="2288" operator="equal">
      <formula>"Mayor"</formula>
    </cfRule>
    <cfRule type="cellIs" dxfId="1995" priority="2289" operator="equal">
      <formula>"Moderado"</formula>
    </cfRule>
    <cfRule type="cellIs" dxfId="1994" priority="2290" operator="equal">
      <formula>"Menor"</formula>
    </cfRule>
    <cfRule type="cellIs" dxfId="1993" priority="2291" operator="equal">
      <formula>"Leve"</formula>
    </cfRule>
  </conditionalFormatting>
  <conditionalFormatting sqref="AF69">
    <cfRule type="cellIs" dxfId="1992" priority="2283" operator="equal">
      <formula>"Extremo"</formula>
    </cfRule>
    <cfRule type="cellIs" dxfId="1991" priority="2284" operator="equal">
      <formula>"Alto"</formula>
    </cfRule>
    <cfRule type="cellIs" dxfId="1990" priority="2285" operator="equal">
      <formula>"Moderado"</formula>
    </cfRule>
    <cfRule type="cellIs" dxfId="1989" priority="2286" operator="equal">
      <formula>"Bajo"</formula>
    </cfRule>
  </conditionalFormatting>
  <conditionalFormatting sqref="AB73">
    <cfRule type="cellIs" dxfId="1988" priority="2278" operator="equal">
      <formula>"Muy Alta"</formula>
    </cfRule>
    <cfRule type="cellIs" dxfId="1987" priority="2279" operator="equal">
      <formula>"Alta"</formula>
    </cfRule>
    <cfRule type="cellIs" dxfId="1986" priority="2280" operator="equal">
      <formula>"Media"</formula>
    </cfRule>
    <cfRule type="cellIs" dxfId="1985" priority="2281" operator="equal">
      <formula>"Baja"</formula>
    </cfRule>
    <cfRule type="cellIs" dxfId="1984" priority="2282" operator="equal">
      <formula>"Muy Baja"</formula>
    </cfRule>
  </conditionalFormatting>
  <conditionalFormatting sqref="AD73">
    <cfRule type="cellIs" dxfId="1983" priority="2273" operator="equal">
      <formula>"Catastrófico"</formula>
    </cfRule>
    <cfRule type="cellIs" dxfId="1982" priority="2274" operator="equal">
      <formula>"Mayor"</formula>
    </cfRule>
    <cfRule type="cellIs" dxfId="1981" priority="2275" operator="equal">
      <formula>"Moderado"</formula>
    </cfRule>
    <cfRule type="cellIs" dxfId="1980" priority="2276" operator="equal">
      <formula>"Menor"</formula>
    </cfRule>
    <cfRule type="cellIs" dxfId="1979" priority="2277" operator="equal">
      <formula>"Leve"</formula>
    </cfRule>
  </conditionalFormatting>
  <conditionalFormatting sqref="AF73">
    <cfRule type="cellIs" dxfId="1978" priority="2269" operator="equal">
      <formula>"Extremo"</formula>
    </cfRule>
    <cfRule type="cellIs" dxfId="1977" priority="2270" operator="equal">
      <formula>"Alto"</formula>
    </cfRule>
    <cfRule type="cellIs" dxfId="1976" priority="2271" operator="equal">
      <formula>"Moderado"</formula>
    </cfRule>
    <cfRule type="cellIs" dxfId="1975" priority="2272" operator="equal">
      <formula>"Bajo"</formula>
    </cfRule>
  </conditionalFormatting>
  <conditionalFormatting sqref="AB74">
    <cfRule type="cellIs" dxfId="1974" priority="2264" operator="equal">
      <formula>"Muy Alta"</formula>
    </cfRule>
    <cfRule type="cellIs" dxfId="1973" priority="2265" operator="equal">
      <formula>"Alta"</formula>
    </cfRule>
    <cfRule type="cellIs" dxfId="1972" priority="2266" operator="equal">
      <formula>"Media"</formula>
    </cfRule>
    <cfRule type="cellIs" dxfId="1971" priority="2267" operator="equal">
      <formula>"Baja"</formula>
    </cfRule>
    <cfRule type="cellIs" dxfId="1970" priority="2268" operator="equal">
      <formula>"Muy Baja"</formula>
    </cfRule>
  </conditionalFormatting>
  <conditionalFormatting sqref="AD74">
    <cfRule type="cellIs" dxfId="1969" priority="2259" operator="equal">
      <formula>"Catastrófico"</formula>
    </cfRule>
    <cfRule type="cellIs" dxfId="1968" priority="2260" operator="equal">
      <formula>"Mayor"</formula>
    </cfRule>
    <cfRule type="cellIs" dxfId="1967" priority="2261" operator="equal">
      <formula>"Moderado"</formula>
    </cfRule>
    <cfRule type="cellIs" dxfId="1966" priority="2262" operator="equal">
      <formula>"Menor"</formula>
    </cfRule>
    <cfRule type="cellIs" dxfId="1965" priority="2263" operator="equal">
      <formula>"Leve"</formula>
    </cfRule>
  </conditionalFormatting>
  <conditionalFormatting sqref="AF74">
    <cfRule type="cellIs" dxfId="1964" priority="2255" operator="equal">
      <formula>"Extremo"</formula>
    </cfRule>
    <cfRule type="cellIs" dxfId="1963" priority="2256" operator="equal">
      <formula>"Alto"</formula>
    </cfRule>
    <cfRule type="cellIs" dxfId="1962" priority="2257" operator="equal">
      <formula>"Moderado"</formula>
    </cfRule>
    <cfRule type="cellIs" dxfId="1961" priority="2258" operator="equal">
      <formula>"Bajo"</formula>
    </cfRule>
  </conditionalFormatting>
  <conditionalFormatting sqref="AB75">
    <cfRule type="cellIs" dxfId="1960" priority="2250" operator="equal">
      <formula>"Muy Alta"</formula>
    </cfRule>
    <cfRule type="cellIs" dxfId="1959" priority="2251" operator="equal">
      <formula>"Alta"</formula>
    </cfRule>
    <cfRule type="cellIs" dxfId="1958" priority="2252" operator="equal">
      <formula>"Media"</formula>
    </cfRule>
    <cfRule type="cellIs" dxfId="1957" priority="2253" operator="equal">
      <formula>"Baja"</formula>
    </cfRule>
    <cfRule type="cellIs" dxfId="1956" priority="2254" operator="equal">
      <formula>"Muy Baja"</formula>
    </cfRule>
  </conditionalFormatting>
  <conditionalFormatting sqref="AD75">
    <cfRule type="cellIs" dxfId="1955" priority="2245" operator="equal">
      <formula>"Catastrófico"</formula>
    </cfRule>
    <cfRule type="cellIs" dxfId="1954" priority="2246" operator="equal">
      <formula>"Mayor"</formula>
    </cfRule>
    <cfRule type="cellIs" dxfId="1953" priority="2247" operator="equal">
      <formula>"Moderado"</formula>
    </cfRule>
    <cfRule type="cellIs" dxfId="1952" priority="2248" operator="equal">
      <formula>"Menor"</formula>
    </cfRule>
    <cfRule type="cellIs" dxfId="1951" priority="2249" operator="equal">
      <formula>"Leve"</formula>
    </cfRule>
  </conditionalFormatting>
  <conditionalFormatting sqref="AF75">
    <cfRule type="cellIs" dxfId="1950" priority="2241" operator="equal">
      <formula>"Extremo"</formula>
    </cfRule>
    <cfRule type="cellIs" dxfId="1949" priority="2242" operator="equal">
      <formula>"Alto"</formula>
    </cfRule>
    <cfRule type="cellIs" dxfId="1948" priority="2243" operator="equal">
      <formula>"Moderado"</formula>
    </cfRule>
    <cfRule type="cellIs" dxfId="1947" priority="2244" operator="equal">
      <formula>"Bajo"</formula>
    </cfRule>
  </conditionalFormatting>
  <conditionalFormatting sqref="AB77">
    <cfRule type="cellIs" dxfId="1946" priority="2236" operator="equal">
      <formula>"Muy Alta"</formula>
    </cfRule>
    <cfRule type="cellIs" dxfId="1945" priority="2237" operator="equal">
      <formula>"Alta"</formula>
    </cfRule>
    <cfRule type="cellIs" dxfId="1944" priority="2238" operator="equal">
      <formula>"Media"</formula>
    </cfRule>
    <cfRule type="cellIs" dxfId="1943" priority="2239" operator="equal">
      <formula>"Baja"</formula>
    </cfRule>
    <cfRule type="cellIs" dxfId="1942" priority="2240" operator="equal">
      <formula>"Muy Baja"</formula>
    </cfRule>
  </conditionalFormatting>
  <conditionalFormatting sqref="AD77">
    <cfRule type="cellIs" dxfId="1941" priority="2231" operator="equal">
      <formula>"Catastrófico"</formula>
    </cfRule>
    <cfRule type="cellIs" dxfId="1940" priority="2232" operator="equal">
      <formula>"Mayor"</formula>
    </cfRule>
    <cfRule type="cellIs" dxfId="1939" priority="2233" operator="equal">
      <formula>"Moderado"</formula>
    </cfRule>
    <cfRule type="cellIs" dxfId="1938" priority="2234" operator="equal">
      <formula>"Menor"</formula>
    </cfRule>
    <cfRule type="cellIs" dxfId="1937" priority="2235" operator="equal">
      <formula>"Leve"</formula>
    </cfRule>
  </conditionalFormatting>
  <conditionalFormatting sqref="AF77">
    <cfRule type="cellIs" dxfId="1936" priority="2227" operator="equal">
      <formula>"Extremo"</formula>
    </cfRule>
    <cfRule type="cellIs" dxfId="1935" priority="2228" operator="equal">
      <formula>"Alto"</formula>
    </cfRule>
    <cfRule type="cellIs" dxfId="1934" priority="2229" operator="equal">
      <formula>"Moderado"</formula>
    </cfRule>
    <cfRule type="cellIs" dxfId="1933" priority="2230" operator="equal">
      <formula>"Bajo"</formula>
    </cfRule>
  </conditionalFormatting>
  <conditionalFormatting sqref="AB76">
    <cfRule type="cellIs" dxfId="1932" priority="2222" operator="equal">
      <formula>"Muy Alta"</formula>
    </cfRule>
    <cfRule type="cellIs" dxfId="1931" priority="2223" operator="equal">
      <formula>"Alta"</formula>
    </cfRule>
    <cfRule type="cellIs" dxfId="1930" priority="2224" operator="equal">
      <formula>"Media"</formula>
    </cfRule>
    <cfRule type="cellIs" dxfId="1929" priority="2225" operator="equal">
      <formula>"Baja"</formula>
    </cfRule>
    <cfRule type="cellIs" dxfId="1928" priority="2226" operator="equal">
      <formula>"Muy Baja"</formula>
    </cfRule>
  </conditionalFormatting>
  <conditionalFormatting sqref="AD76">
    <cfRule type="cellIs" dxfId="1927" priority="2217" operator="equal">
      <formula>"Catastrófico"</formula>
    </cfRule>
    <cfRule type="cellIs" dxfId="1926" priority="2218" operator="equal">
      <formula>"Mayor"</formula>
    </cfRule>
    <cfRule type="cellIs" dxfId="1925" priority="2219" operator="equal">
      <formula>"Moderado"</formula>
    </cfRule>
    <cfRule type="cellIs" dxfId="1924" priority="2220" operator="equal">
      <formula>"Menor"</formula>
    </cfRule>
    <cfRule type="cellIs" dxfId="1923" priority="2221" operator="equal">
      <formula>"Leve"</formula>
    </cfRule>
  </conditionalFormatting>
  <conditionalFormatting sqref="AF76">
    <cfRule type="cellIs" dxfId="1922" priority="2213" operator="equal">
      <formula>"Extremo"</formula>
    </cfRule>
    <cfRule type="cellIs" dxfId="1921" priority="2214" operator="equal">
      <formula>"Alto"</formula>
    </cfRule>
    <cfRule type="cellIs" dxfId="1920" priority="2215" operator="equal">
      <formula>"Moderado"</formula>
    </cfRule>
    <cfRule type="cellIs" dxfId="1919" priority="2216" operator="equal">
      <formula>"Bajo"</formula>
    </cfRule>
  </conditionalFormatting>
  <conditionalFormatting sqref="AB78">
    <cfRule type="cellIs" dxfId="1918" priority="2208" operator="equal">
      <formula>"Muy Alta"</formula>
    </cfRule>
    <cfRule type="cellIs" dxfId="1917" priority="2209" operator="equal">
      <formula>"Alta"</formula>
    </cfRule>
    <cfRule type="cellIs" dxfId="1916" priority="2210" operator="equal">
      <formula>"Media"</formula>
    </cfRule>
    <cfRule type="cellIs" dxfId="1915" priority="2211" operator="equal">
      <formula>"Baja"</formula>
    </cfRule>
    <cfRule type="cellIs" dxfId="1914" priority="2212" operator="equal">
      <formula>"Muy Baja"</formula>
    </cfRule>
  </conditionalFormatting>
  <conditionalFormatting sqref="AD78">
    <cfRule type="cellIs" dxfId="1913" priority="2203" operator="equal">
      <formula>"Catastrófico"</formula>
    </cfRule>
    <cfRule type="cellIs" dxfId="1912" priority="2204" operator="equal">
      <formula>"Mayor"</formula>
    </cfRule>
    <cfRule type="cellIs" dxfId="1911" priority="2205" operator="equal">
      <formula>"Moderado"</formula>
    </cfRule>
    <cfRule type="cellIs" dxfId="1910" priority="2206" operator="equal">
      <formula>"Menor"</formula>
    </cfRule>
    <cfRule type="cellIs" dxfId="1909" priority="2207" operator="equal">
      <formula>"Leve"</formula>
    </cfRule>
  </conditionalFormatting>
  <conditionalFormatting sqref="AF78">
    <cfRule type="cellIs" dxfId="1908" priority="2199" operator="equal">
      <formula>"Extremo"</formula>
    </cfRule>
    <cfRule type="cellIs" dxfId="1907" priority="2200" operator="equal">
      <formula>"Alto"</formula>
    </cfRule>
    <cfRule type="cellIs" dxfId="1906" priority="2201" operator="equal">
      <formula>"Moderado"</formula>
    </cfRule>
    <cfRule type="cellIs" dxfId="1905" priority="2202" operator="equal">
      <formula>"Bajo"</formula>
    </cfRule>
  </conditionalFormatting>
  <conditionalFormatting sqref="AB80">
    <cfRule type="cellIs" dxfId="1904" priority="2194" operator="equal">
      <formula>"Muy Alta"</formula>
    </cfRule>
    <cfRule type="cellIs" dxfId="1903" priority="2195" operator="equal">
      <formula>"Alta"</formula>
    </cfRule>
    <cfRule type="cellIs" dxfId="1902" priority="2196" operator="equal">
      <formula>"Media"</formula>
    </cfRule>
    <cfRule type="cellIs" dxfId="1901" priority="2197" operator="equal">
      <formula>"Baja"</formula>
    </cfRule>
    <cfRule type="cellIs" dxfId="1900" priority="2198" operator="equal">
      <formula>"Muy Baja"</formula>
    </cfRule>
  </conditionalFormatting>
  <conditionalFormatting sqref="AD80">
    <cfRule type="cellIs" dxfId="1899" priority="2189" operator="equal">
      <formula>"Catastrófico"</formula>
    </cfRule>
    <cfRule type="cellIs" dxfId="1898" priority="2190" operator="equal">
      <formula>"Mayor"</formula>
    </cfRule>
    <cfRule type="cellIs" dxfId="1897" priority="2191" operator="equal">
      <formula>"Moderado"</formula>
    </cfRule>
    <cfRule type="cellIs" dxfId="1896" priority="2192" operator="equal">
      <formula>"Menor"</formula>
    </cfRule>
    <cfRule type="cellIs" dxfId="1895" priority="2193" operator="equal">
      <formula>"Leve"</formula>
    </cfRule>
  </conditionalFormatting>
  <conditionalFormatting sqref="AF80">
    <cfRule type="cellIs" dxfId="1894" priority="2185" operator="equal">
      <formula>"Extremo"</formula>
    </cfRule>
    <cfRule type="cellIs" dxfId="1893" priority="2186" operator="equal">
      <formula>"Alto"</formula>
    </cfRule>
    <cfRule type="cellIs" dxfId="1892" priority="2187" operator="equal">
      <formula>"Moderado"</formula>
    </cfRule>
    <cfRule type="cellIs" dxfId="1891" priority="2188" operator="equal">
      <formula>"Bajo"</formula>
    </cfRule>
  </conditionalFormatting>
  <conditionalFormatting sqref="AB81">
    <cfRule type="cellIs" dxfId="1890" priority="2180" operator="equal">
      <formula>"Muy Alta"</formula>
    </cfRule>
    <cfRule type="cellIs" dxfId="1889" priority="2181" operator="equal">
      <formula>"Alta"</formula>
    </cfRule>
    <cfRule type="cellIs" dxfId="1888" priority="2182" operator="equal">
      <formula>"Media"</formula>
    </cfRule>
    <cfRule type="cellIs" dxfId="1887" priority="2183" operator="equal">
      <formula>"Baja"</formula>
    </cfRule>
    <cfRule type="cellIs" dxfId="1886" priority="2184" operator="equal">
      <formula>"Muy Baja"</formula>
    </cfRule>
  </conditionalFormatting>
  <conditionalFormatting sqref="AD81">
    <cfRule type="cellIs" dxfId="1885" priority="2175" operator="equal">
      <formula>"Catastrófico"</formula>
    </cfRule>
    <cfRule type="cellIs" dxfId="1884" priority="2176" operator="equal">
      <formula>"Mayor"</formula>
    </cfRule>
    <cfRule type="cellIs" dxfId="1883" priority="2177" operator="equal">
      <formula>"Moderado"</formula>
    </cfRule>
    <cfRule type="cellIs" dxfId="1882" priority="2178" operator="equal">
      <formula>"Menor"</formula>
    </cfRule>
    <cfRule type="cellIs" dxfId="1881" priority="2179" operator="equal">
      <formula>"Leve"</formula>
    </cfRule>
  </conditionalFormatting>
  <conditionalFormatting sqref="AF81">
    <cfRule type="cellIs" dxfId="1880" priority="2171" operator="equal">
      <formula>"Extremo"</formula>
    </cfRule>
    <cfRule type="cellIs" dxfId="1879" priority="2172" operator="equal">
      <formula>"Alto"</formula>
    </cfRule>
    <cfRule type="cellIs" dxfId="1878" priority="2173" operator="equal">
      <formula>"Moderado"</formula>
    </cfRule>
    <cfRule type="cellIs" dxfId="1877" priority="2174" operator="equal">
      <formula>"Bajo"</formula>
    </cfRule>
  </conditionalFormatting>
  <conditionalFormatting sqref="AB83">
    <cfRule type="cellIs" dxfId="1876" priority="2166" operator="equal">
      <formula>"Muy Alta"</formula>
    </cfRule>
    <cfRule type="cellIs" dxfId="1875" priority="2167" operator="equal">
      <formula>"Alta"</formula>
    </cfRule>
    <cfRule type="cellIs" dxfId="1874" priority="2168" operator="equal">
      <formula>"Media"</formula>
    </cfRule>
    <cfRule type="cellIs" dxfId="1873" priority="2169" operator="equal">
      <formula>"Baja"</formula>
    </cfRule>
    <cfRule type="cellIs" dxfId="1872" priority="2170" operator="equal">
      <formula>"Muy Baja"</formula>
    </cfRule>
  </conditionalFormatting>
  <conditionalFormatting sqref="AD83">
    <cfRule type="cellIs" dxfId="1871" priority="2161" operator="equal">
      <formula>"Catastrófico"</formula>
    </cfRule>
    <cfRule type="cellIs" dxfId="1870" priority="2162" operator="equal">
      <formula>"Mayor"</formula>
    </cfRule>
    <cfRule type="cellIs" dxfId="1869" priority="2163" operator="equal">
      <formula>"Moderado"</formula>
    </cfRule>
    <cfRule type="cellIs" dxfId="1868" priority="2164" operator="equal">
      <formula>"Menor"</formula>
    </cfRule>
    <cfRule type="cellIs" dxfId="1867" priority="2165" operator="equal">
      <formula>"Leve"</formula>
    </cfRule>
  </conditionalFormatting>
  <conditionalFormatting sqref="AF83">
    <cfRule type="cellIs" dxfId="1866" priority="2157" operator="equal">
      <formula>"Extremo"</formula>
    </cfRule>
    <cfRule type="cellIs" dxfId="1865" priority="2158" operator="equal">
      <formula>"Alto"</formula>
    </cfRule>
    <cfRule type="cellIs" dxfId="1864" priority="2159" operator="equal">
      <formula>"Moderado"</formula>
    </cfRule>
    <cfRule type="cellIs" dxfId="1863" priority="2160" operator="equal">
      <formula>"Bajo"</formula>
    </cfRule>
  </conditionalFormatting>
  <conditionalFormatting sqref="AB84">
    <cfRule type="cellIs" dxfId="1862" priority="2152" operator="equal">
      <formula>"Muy Alta"</formula>
    </cfRule>
    <cfRule type="cellIs" dxfId="1861" priority="2153" operator="equal">
      <formula>"Alta"</formula>
    </cfRule>
    <cfRule type="cellIs" dxfId="1860" priority="2154" operator="equal">
      <formula>"Media"</formula>
    </cfRule>
    <cfRule type="cellIs" dxfId="1859" priority="2155" operator="equal">
      <formula>"Baja"</formula>
    </cfRule>
    <cfRule type="cellIs" dxfId="1858" priority="2156" operator="equal">
      <formula>"Muy Baja"</formula>
    </cfRule>
  </conditionalFormatting>
  <conditionalFormatting sqref="AD84">
    <cfRule type="cellIs" dxfId="1857" priority="2147" operator="equal">
      <formula>"Catastrófico"</formula>
    </cfRule>
    <cfRule type="cellIs" dxfId="1856" priority="2148" operator="equal">
      <formula>"Mayor"</formula>
    </cfRule>
    <cfRule type="cellIs" dxfId="1855" priority="2149" operator="equal">
      <formula>"Moderado"</formula>
    </cfRule>
    <cfRule type="cellIs" dxfId="1854" priority="2150" operator="equal">
      <formula>"Menor"</formula>
    </cfRule>
    <cfRule type="cellIs" dxfId="1853" priority="2151" operator="equal">
      <formula>"Leve"</formula>
    </cfRule>
  </conditionalFormatting>
  <conditionalFormatting sqref="AF84">
    <cfRule type="cellIs" dxfId="1852" priority="2143" operator="equal">
      <formula>"Extremo"</formula>
    </cfRule>
    <cfRule type="cellIs" dxfId="1851" priority="2144" operator="equal">
      <formula>"Alto"</formula>
    </cfRule>
    <cfRule type="cellIs" dxfId="1850" priority="2145" operator="equal">
      <formula>"Moderado"</formula>
    </cfRule>
    <cfRule type="cellIs" dxfId="1849" priority="2146" operator="equal">
      <formula>"Bajo"</formula>
    </cfRule>
  </conditionalFormatting>
  <conditionalFormatting sqref="AB89">
    <cfRule type="cellIs" dxfId="1848" priority="2138" operator="equal">
      <formula>"Muy Alta"</formula>
    </cfRule>
    <cfRule type="cellIs" dxfId="1847" priority="2139" operator="equal">
      <formula>"Alta"</formula>
    </cfRule>
    <cfRule type="cellIs" dxfId="1846" priority="2140" operator="equal">
      <formula>"Media"</formula>
    </cfRule>
    <cfRule type="cellIs" dxfId="1845" priority="2141" operator="equal">
      <formula>"Baja"</formula>
    </cfRule>
    <cfRule type="cellIs" dxfId="1844" priority="2142" operator="equal">
      <formula>"Muy Baja"</formula>
    </cfRule>
  </conditionalFormatting>
  <conditionalFormatting sqref="AD89">
    <cfRule type="cellIs" dxfId="1843" priority="2133" operator="equal">
      <formula>"Catastrófico"</formula>
    </cfRule>
    <cfRule type="cellIs" dxfId="1842" priority="2134" operator="equal">
      <formula>"Mayor"</formula>
    </cfRule>
    <cfRule type="cellIs" dxfId="1841" priority="2135" operator="equal">
      <formula>"Moderado"</formula>
    </cfRule>
    <cfRule type="cellIs" dxfId="1840" priority="2136" operator="equal">
      <formula>"Menor"</formula>
    </cfRule>
    <cfRule type="cellIs" dxfId="1839" priority="2137" operator="equal">
      <formula>"Leve"</formula>
    </cfRule>
  </conditionalFormatting>
  <conditionalFormatting sqref="AF89">
    <cfRule type="cellIs" dxfId="1838" priority="2129" operator="equal">
      <formula>"Extremo"</formula>
    </cfRule>
    <cfRule type="cellIs" dxfId="1837" priority="2130" operator="equal">
      <formula>"Alto"</formula>
    </cfRule>
    <cfRule type="cellIs" dxfId="1836" priority="2131" operator="equal">
      <formula>"Moderado"</formula>
    </cfRule>
    <cfRule type="cellIs" dxfId="1835" priority="2132" operator="equal">
      <formula>"Bajo"</formula>
    </cfRule>
  </conditionalFormatting>
  <conditionalFormatting sqref="AB90">
    <cfRule type="cellIs" dxfId="1834" priority="2124" operator="equal">
      <formula>"Muy Alta"</formula>
    </cfRule>
    <cfRule type="cellIs" dxfId="1833" priority="2125" operator="equal">
      <formula>"Alta"</formula>
    </cfRule>
    <cfRule type="cellIs" dxfId="1832" priority="2126" operator="equal">
      <formula>"Media"</formula>
    </cfRule>
    <cfRule type="cellIs" dxfId="1831" priority="2127" operator="equal">
      <formula>"Baja"</formula>
    </cfRule>
    <cfRule type="cellIs" dxfId="1830" priority="2128" operator="equal">
      <formula>"Muy Baja"</formula>
    </cfRule>
  </conditionalFormatting>
  <conditionalFormatting sqref="AD90">
    <cfRule type="cellIs" dxfId="1829" priority="2119" operator="equal">
      <formula>"Catastrófico"</formula>
    </cfRule>
    <cfRule type="cellIs" dxfId="1828" priority="2120" operator="equal">
      <formula>"Mayor"</formula>
    </cfRule>
    <cfRule type="cellIs" dxfId="1827" priority="2121" operator="equal">
      <formula>"Moderado"</formula>
    </cfRule>
    <cfRule type="cellIs" dxfId="1826" priority="2122" operator="equal">
      <formula>"Menor"</formula>
    </cfRule>
    <cfRule type="cellIs" dxfId="1825" priority="2123" operator="equal">
      <formula>"Leve"</formula>
    </cfRule>
  </conditionalFormatting>
  <conditionalFormatting sqref="AF90">
    <cfRule type="cellIs" dxfId="1824" priority="2115" operator="equal">
      <formula>"Extremo"</formula>
    </cfRule>
    <cfRule type="cellIs" dxfId="1823" priority="2116" operator="equal">
      <formula>"Alto"</formula>
    </cfRule>
    <cfRule type="cellIs" dxfId="1822" priority="2117" operator="equal">
      <formula>"Moderado"</formula>
    </cfRule>
    <cfRule type="cellIs" dxfId="1821" priority="2118" operator="equal">
      <formula>"Bajo"</formula>
    </cfRule>
  </conditionalFormatting>
  <conditionalFormatting sqref="AB92">
    <cfRule type="cellIs" dxfId="1820" priority="2110" operator="equal">
      <formula>"Muy Alta"</formula>
    </cfRule>
    <cfRule type="cellIs" dxfId="1819" priority="2111" operator="equal">
      <formula>"Alta"</formula>
    </cfRule>
    <cfRule type="cellIs" dxfId="1818" priority="2112" operator="equal">
      <formula>"Media"</formula>
    </cfRule>
    <cfRule type="cellIs" dxfId="1817" priority="2113" operator="equal">
      <formula>"Baja"</formula>
    </cfRule>
    <cfRule type="cellIs" dxfId="1816" priority="2114" operator="equal">
      <formula>"Muy Baja"</formula>
    </cfRule>
  </conditionalFormatting>
  <conditionalFormatting sqref="AD92">
    <cfRule type="cellIs" dxfId="1815" priority="2105" operator="equal">
      <formula>"Catastrófico"</formula>
    </cfRule>
    <cfRule type="cellIs" dxfId="1814" priority="2106" operator="equal">
      <formula>"Mayor"</formula>
    </cfRule>
    <cfRule type="cellIs" dxfId="1813" priority="2107" operator="equal">
      <formula>"Moderado"</formula>
    </cfRule>
    <cfRule type="cellIs" dxfId="1812" priority="2108" operator="equal">
      <formula>"Menor"</formula>
    </cfRule>
    <cfRule type="cellIs" dxfId="1811" priority="2109" operator="equal">
      <formula>"Leve"</formula>
    </cfRule>
  </conditionalFormatting>
  <conditionalFormatting sqref="AF92">
    <cfRule type="cellIs" dxfId="1810" priority="2101" operator="equal">
      <formula>"Extremo"</formula>
    </cfRule>
    <cfRule type="cellIs" dxfId="1809" priority="2102" operator="equal">
      <formula>"Alto"</formula>
    </cfRule>
    <cfRule type="cellIs" dxfId="1808" priority="2103" operator="equal">
      <formula>"Moderado"</formula>
    </cfRule>
    <cfRule type="cellIs" dxfId="1807" priority="2104" operator="equal">
      <formula>"Bajo"</formula>
    </cfRule>
  </conditionalFormatting>
  <conditionalFormatting sqref="AB94">
    <cfRule type="cellIs" dxfId="1806" priority="2096" operator="equal">
      <formula>"Muy Alta"</formula>
    </cfRule>
    <cfRule type="cellIs" dxfId="1805" priority="2097" operator="equal">
      <formula>"Alta"</formula>
    </cfRule>
    <cfRule type="cellIs" dxfId="1804" priority="2098" operator="equal">
      <formula>"Media"</formula>
    </cfRule>
    <cfRule type="cellIs" dxfId="1803" priority="2099" operator="equal">
      <formula>"Baja"</formula>
    </cfRule>
    <cfRule type="cellIs" dxfId="1802" priority="2100" operator="equal">
      <formula>"Muy Baja"</formula>
    </cfRule>
  </conditionalFormatting>
  <conditionalFormatting sqref="AD94">
    <cfRule type="cellIs" dxfId="1801" priority="2091" operator="equal">
      <formula>"Catastrófico"</formula>
    </cfRule>
    <cfRule type="cellIs" dxfId="1800" priority="2092" operator="equal">
      <formula>"Mayor"</formula>
    </cfRule>
    <cfRule type="cellIs" dxfId="1799" priority="2093" operator="equal">
      <formula>"Moderado"</formula>
    </cfRule>
    <cfRule type="cellIs" dxfId="1798" priority="2094" operator="equal">
      <formula>"Menor"</formula>
    </cfRule>
    <cfRule type="cellIs" dxfId="1797" priority="2095" operator="equal">
      <formula>"Leve"</formula>
    </cfRule>
  </conditionalFormatting>
  <conditionalFormatting sqref="AF94">
    <cfRule type="cellIs" dxfId="1796" priority="2087" operator="equal">
      <formula>"Extremo"</formula>
    </cfRule>
    <cfRule type="cellIs" dxfId="1795" priority="2088" operator="equal">
      <formula>"Alto"</formula>
    </cfRule>
    <cfRule type="cellIs" dxfId="1794" priority="2089" operator="equal">
      <formula>"Moderado"</formula>
    </cfRule>
    <cfRule type="cellIs" dxfId="1793" priority="2090" operator="equal">
      <formula>"Bajo"</formula>
    </cfRule>
  </conditionalFormatting>
  <conditionalFormatting sqref="AB93">
    <cfRule type="cellIs" dxfId="1792" priority="2082" operator="equal">
      <formula>"Muy Alta"</formula>
    </cfRule>
    <cfRule type="cellIs" dxfId="1791" priority="2083" operator="equal">
      <formula>"Alta"</formula>
    </cfRule>
    <cfRule type="cellIs" dxfId="1790" priority="2084" operator="equal">
      <formula>"Media"</formula>
    </cfRule>
    <cfRule type="cellIs" dxfId="1789" priority="2085" operator="equal">
      <formula>"Baja"</formula>
    </cfRule>
    <cfRule type="cellIs" dxfId="1788" priority="2086" operator="equal">
      <formula>"Muy Baja"</formula>
    </cfRule>
  </conditionalFormatting>
  <conditionalFormatting sqref="AD93">
    <cfRule type="cellIs" dxfId="1787" priority="2077" operator="equal">
      <formula>"Catastrófico"</formula>
    </cfRule>
    <cfRule type="cellIs" dxfId="1786" priority="2078" operator="equal">
      <formula>"Mayor"</formula>
    </cfRule>
    <cfRule type="cellIs" dxfId="1785" priority="2079" operator="equal">
      <formula>"Moderado"</formula>
    </cfRule>
    <cfRule type="cellIs" dxfId="1784" priority="2080" operator="equal">
      <formula>"Menor"</formula>
    </cfRule>
    <cfRule type="cellIs" dxfId="1783" priority="2081" operator="equal">
      <formula>"Leve"</formula>
    </cfRule>
  </conditionalFormatting>
  <conditionalFormatting sqref="AF93">
    <cfRule type="cellIs" dxfId="1782" priority="2073" operator="equal">
      <formula>"Extremo"</formula>
    </cfRule>
    <cfRule type="cellIs" dxfId="1781" priority="2074" operator="equal">
      <formula>"Alto"</formula>
    </cfRule>
    <cfRule type="cellIs" dxfId="1780" priority="2075" operator="equal">
      <formula>"Moderado"</formula>
    </cfRule>
    <cfRule type="cellIs" dxfId="1779" priority="2076" operator="equal">
      <formula>"Bajo"</formula>
    </cfRule>
  </conditionalFormatting>
  <conditionalFormatting sqref="AB95">
    <cfRule type="cellIs" dxfId="1778" priority="2068" operator="equal">
      <formula>"Muy Alta"</formula>
    </cfRule>
    <cfRule type="cellIs" dxfId="1777" priority="2069" operator="equal">
      <formula>"Alta"</formula>
    </cfRule>
    <cfRule type="cellIs" dxfId="1776" priority="2070" operator="equal">
      <formula>"Media"</formula>
    </cfRule>
    <cfRule type="cellIs" dxfId="1775" priority="2071" operator="equal">
      <formula>"Baja"</formula>
    </cfRule>
    <cfRule type="cellIs" dxfId="1774" priority="2072" operator="equal">
      <formula>"Muy Baja"</formula>
    </cfRule>
  </conditionalFormatting>
  <conditionalFormatting sqref="AD95">
    <cfRule type="cellIs" dxfId="1773" priority="2063" operator="equal">
      <formula>"Catastrófico"</formula>
    </cfRule>
    <cfRule type="cellIs" dxfId="1772" priority="2064" operator="equal">
      <formula>"Mayor"</formula>
    </cfRule>
    <cfRule type="cellIs" dxfId="1771" priority="2065" operator="equal">
      <formula>"Moderado"</formula>
    </cfRule>
    <cfRule type="cellIs" dxfId="1770" priority="2066" operator="equal">
      <formula>"Menor"</formula>
    </cfRule>
    <cfRule type="cellIs" dxfId="1769" priority="2067" operator="equal">
      <formula>"Leve"</formula>
    </cfRule>
  </conditionalFormatting>
  <conditionalFormatting sqref="AF95">
    <cfRule type="cellIs" dxfId="1768" priority="2059" operator="equal">
      <formula>"Extremo"</formula>
    </cfRule>
    <cfRule type="cellIs" dxfId="1767" priority="2060" operator="equal">
      <formula>"Alto"</formula>
    </cfRule>
    <cfRule type="cellIs" dxfId="1766" priority="2061" operator="equal">
      <formula>"Moderado"</formula>
    </cfRule>
    <cfRule type="cellIs" dxfId="1765" priority="2062" operator="equal">
      <formula>"Bajo"</formula>
    </cfRule>
  </conditionalFormatting>
  <conditionalFormatting sqref="AB96">
    <cfRule type="cellIs" dxfId="1764" priority="2054" operator="equal">
      <formula>"Muy Alta"</formula>
    </cfRule>
    <cfRule type="cellIs" dxfId="1763" priority="2055" operator="equal">
      <formula>"Alta"</formula>
    </cfRule>
    <cfRule type="cellIs" dxfId="1762" priority="2056" operator="equal">
      <formula>"Media"</formula>
    </cfRule>
    <cfRule type="cellIs" dxfId="1761" priority="2057" operator="equal">
      <formula>"Baja"</formula>
    </cfRule>
    <cfRule type="cellIs" dxfId="1760" priority="2058" operator="equal">
      <formula>"Muy Baja"</formula>
    </cfRule>
  </conditionalFormatting>
  <conditionalFormatting sqref="AD96">
    <cfRule type="cellIs" dxfId="1759" priority="2049" operator="equal">
      <formula>"Catastrófico"</formula>
    </cfRule>
    <cfRule type="cellIs" dxfId="1758" priority="2050" operator="equal">
      <formula>"Mayor"</formula>
    </cfRule>
    <cfRule type="cellIs" dxfId="1757" priority="2051" operator="equal">
      <formula>"Moderado"</formula>
    </cfRule>
    <cfRule type="cellIs" dxfId="1756" priority="2052" operator="equal">
      <formula>"Menor"</formula>
    </cfRule>
    <cfRule type="cellIs" dxfId="1755" priority="2053" operator="equal">
      <formula>"Leve"</formula>
    </cfRule>
  </conditionalFormatting>
  <conditionalFormatting sqref="AF96">
    <cfRule type="cellIs" dxfId="1754" priority="2045" operator="equal">
      <formula>"Extremo"</formula>
    </cfRule>
    <cfRule type="cellIs" dxfId="1753" priority="2046" operator="equal">
      <formula>"Alto"</formula>
    </cfRule>
    <cfRule type="cellIs" dxfId="1752" priority="2047" operator="equal">
      <formula>"Moderado"</formula>
    </cfRule>
    <cfRule type="cellIs" dxfId="1751" priority="2048" operator="equal">
      <formula>"Bajo"</formula>
    </cfRule>
  </conditionalFormatting>
  <conditionalFormatting sqref="AB98">
    <cfRule type="cellIs" dxfId="1750" priority="2040" operator="equal">
      <formula>"Muy Alta"</formula>
    </cfRule>
    <cfRule type="cellIs" dxfId="1749" priority="2041" operator="equal">
      <formula>"Alta"</formula>
    </cfRule>
    <cfRule type="cellIs" dxfId="1748" priority="2042" operator="equal">
      <formula>"Media"</formula>
    </cfRule>
    <cfRule type="cellIs" dxfId="1747" priority="2043" operator="equal">
      <formula>"Baja"</formula>
    </cfRule>
    <cfRule type="cellIs" dxfId="1746" priority="2044" operator="equal">
      <formula>"Muy Baja"</formula>
    </cfRule>
  </conditionalFormatting>
  <conditionalFormatting sqref="AD98">
    <cfRule type="cellIs" dxfId="1745" priority="2035" operator="equal">
      <formula>"Catastrófico"</formula>
    </cfRule>
    <cfRule type="cellIs" dxfId="1744" priority="2036" operator="equal">
      <formula>"Mayor"</formula>
    </cfRule>
    <cfRule type="cellIs" dxfId="1743" priority="2037" operator="equal">
      <formula>"Moderado"</formula>
    </cfRule>
    <cfRule type="cellIs" dxfId="1742" priority="2038" operator="equal">
      <formula>"Menor"</formula>
    </cfRule>
    <cfRule type="cellIs" dxfId="1741" priority="2039" operator="equal">
      <formula>"Leve"</formula>
    </cfRule>
  </conditionalFormatting>
  <conditionalFormatting sqref="AF98">
    <cfRule type="cellIs" dxfId="1740" priority="2031" operator="equal">
      <formula>"Extremo"</formula>
    </cfRule>
    <cfRule type="cellIs" dxfId="1739" priority="2032" operator="equal">
      <formula>"Alto"</formula>
    </cfRule>
    <cfRule type="cellIs" dxfId="1738" priority="2033" operator="equal">
      <formula>"Moderado"</formula>
    </cfRule>
    <cfRule type="cellIs" dxfId="1737" priority="2034" operator="equal">
      <formula>"Bajo"</formula>
    </cfRule>
  </conditionalFormatting>
  <conditionalFormatting sqref="AB103">
    <cfRule type="cellIs" dxfId="1736" priority="1998" operator="equal">
      <formula>"Muy Alta"</formula>
    </cfRule>
    <cfRule type="cellIs" dxfId="1735" priority="1999" operator="equal">
      <formula>"Alta"</formula>
    </cfRule>
    <cfRule type="cellIs" dxfId="1734" priority="2000" operator="equal">
      <formula>"Media"</formula>
    </cfRule>
    <cfRule type="cellIs" dxfId="1733" priority="2001" operator="equal">
      <formula>"Baja"</formula>
    </cfRule>
    <cfRule type="cellIs" dxfId="1732" priority="2002" operator="equal">
      <formula>"Muy Baja"</formula>
    </cfRule>
  </conditionalFormatting>
  <conditionalFormatting sqref="AD103">
    <cfRule type="cellIs" dxfId="1731" priority="1993" operator="equal">
      <formula>"Catastrófico"</formula>
    </cfRule>
    <cfRule type="cellIs" dxfId="1730" priority="1994" operator="equal">
      <formula>"Mayor"</formula>
    </cfRule>
    <cfRule type="cellIs" dxfId="1729" priority="1995" operator="equal">
      <formula>"Moderado"</formula>
    </cfRule>
    <cfRule type="cellIs" dxfId="1728" priority="1996" operator="equal">
      <formula>"Menor"</formula>
    </cfRule>
    <cfRule type="cellIs" dxfId="1727" priority="1997" operator="equal">
      <formula>"Leve"</formula>
    </cfRule>
  </conditionalFormatting>
  <conditionalFormatting sqref="AF103">
    <cfRule type="cellIs" dxfId="1726" priority="1989" operator="equal">
      <formula>"Extremo"</formula>
    </cfRule>
    <cfRule type="cellIs" dxfId="1725" priority="1990" operator="equal">
      <formula>"Alto"</formula>
    </cfRule>
    <cfRule type="cellIs" dxfId="1724" priority="1991" operator="equal">
      <formula>"Moderado"</formula>
    </cfRule>
    <cfRule type="cellIs" dxfId="1723" priority="1992" operator="equal">
      <formula>"Bajo"</formula>
    </cfRule>
  </conditionalFormatting>
  <conditionalFormatting sqref="AB104">
    <cfRule type="cellIs" dxfId="1722" priority="1956" operator="equal">
      <formula>"Muy Alta"</formula>
    </cfRule>
    <cfRule type="cellIs" dxfId="1721" priority="1957" operator="equal">
      <formula>"Alta"</formula>
    </cfRule>
    <cfRule type="cellIs" dxfId="1720" priority="1958" operator="equal">
      <formula>"Media"</formula>
    </cfRule>
    <cfRule type="cellIs" dxfId="1719" priority="1959" operator="equal">
      <formula>"Baja"</formula>
    </cfRule>
    <cfRule type="cellIs" dxfId="1718" priority="1960" operator="equal">
      <formula>"Muy Baja"</formula>
    </cfRule>
  </conditionalFormatting>
  <conditionalFormatting sqref="AD104">
    <cfRule type="cellIs" dxfId="1717" priority="1951" operator="equal">
      <formula>"Catastrófico"</formula>
    </cfRule>
    <cfRule type="cellIs" dxfId="1716" priority="1952" operator="equal">
      <formula>"Mayor"</formula>
    </cfRule>
    <cfRule type="cellIs" dxfId="1715" priority="1953" operator="equal">
      <formula>"Moderado"</formula>
    </cfRule>
    <cfRule type="cellIs" dxfId="1714" priority="1954" operator="equal">
      <formula>"Menor"</formula>
    </cfRule>
    <cfRule type="cellIs" dxfId="1713" priority="1955" operator="equal">
      <formula>"Leve"</formula>
    </cfRule>
  </conditionalFormatting>
  <conditionalFormatting sqref="AF104">
    <cfRule type="cellIs" dxfId="1712" priority="1947" operator="equal">
      <formula>"Extremo"</formula>
    </cfRule>
    <cfRule type="cellIs" dxfId="1711" priority="1948" operator="equal">
      <formula>"Alto"</formula>
    </cfRule>
    <cfRule type="cellIs" dxfId="1710" priority="1949" operator="equal">
      <formula>"Moderado"</formula>
    </cfRule>
    <cfRule type="cellIs" dxfId="1709" priority="1950" operator="equal">
      <formula>"Bajo"</formula>
    </cfRule>
  </conditionalFormatting>
  <conditionalFormatting sqref="AB105">
    <cfRule type="cellIs" dxfId="1708" priority="1942" operator="equal">
      <formula>"Muy Alta"</formula>
    </cfRule>
    <cfRule type="cellIs" dxfId="1707" priority="1943" operator="equal">
      <formula>"Alta"</formula>
    </cfRule>
    <cfRule type="cellIs" dxfId="1706" priority="1944" operator="equal">
      <formula>"Media"</formula>
    </cfRule>
    <cfRule type="cellIs" dxfId="1705" priority="1945" operator="equal">
      <formula>"Baja"</formula>
    </cfRule>
    <cfRule type="cellIs" dxfId="1704" priority="1946" operator="equal">
      <formula>"Muy Baja"</formula>
    </cfRule>
  </conditionalFormatting>
  <conditionalFormatting sqref="AD105">
    <cfRule type="cellIs" dxfId="1703" priority="1937" operator="equal">
      <formula>"Catastrófico"</formula>
    </cfRule>
    <cfRule type="cellIs" dxfId="1702" priority="1938" operator="equal">
      <formula>"Mayor"</formula>
    </cfRule>
    <cfRule type="cellIs" dxfId="1701" priority="1939" operator="equal">
      <formula>"Moderado"</formula>
    </cfRule>
    <cfRule type="cellIs" dxfId="1700" priority="1940" operator="equal">
      <formula>"Menor"</formula>
    </cfRule>
    <cfRule type="cellIs" dxfId="1699" priority="1941" operator="equal">
      <formula>"Leve"</formula>
    </cfRule>
  </conditionalFormatting>
  <conditionalFormatting sqref="AF105">
    <cfRule type="cellIs" dxfId="1698" priority="1933" operator="equal">
      <formula>"Extremo"</formula>
    </cfRule>
    <cfRule type="cellIs" dxfId="1697" priority="1934" operator="equal">
      <formula>"Alto"</formula>
    </cfRule>
    <cfRule type="cellIs" dxfId="1696" priority="1935" operator="equal">
      <formula>"Moderado"</formula>
    </cfRule>
    <cfRule type="cellIs" dxfId="1695" priority="1936" operator="equal">
      <formula>"Bajo"</formula>
    </cfRule>
  </conditionalFormatting>
  <conditionalFormatting sqref="AB107">
    <cfRule type="cellIs" dxfId="1694" priority="1928" operator="equal">
      <formula>"Muy Alta"</formula>
    </cfRule>
    <cfRule type="cellIs" dxfId="1693" priority="1929" operator="equal">
      <formula>"Alta"</formula>
    </cfRule>
    <cfRule type="cellIs" dxfId="1692" priority="1930" operator="equal">
      <formula>"Media"</formula>
    </cfRule>
    <cfRule type="cellIs" dxfId="1691" priority="1931" operator="equal">
      <formula>"Baja"</formula>
    </cfRule>
    <cfRule type="cellIs" dxfId="1690" priority="1932" operator="equal">
      <formula>"Muy Baja"</formula>
    </cfRule>
  </conditionalFormatting>
  <conditionalFormatting sqref="AD107">
    <cfRule type="cellIs" dxfId="1689" priority="1923" operator="equal">
      <formula>"Catastrófico"</formula>
    </cfRule>
    <cfRule type="cellIs" dxfId="1688" priority="1924" operator="equal">
      <formula>"Mayor"</formula>
    </cfRule>
    <cfRule type="cellIs" dxfId="1687" priority="1925" operator="equal">
      <formula>"Moderado"</formula>
    </cfRule>
    <cfRule type="cellIs" dxfId="1686" priority="1926" operator="equal">
      <formula>"Menor"</formula>
    </cfRule>
    <cfRule type="cellIs" dxfId="1685" priority="1927" operator="equal">
      <formula>"Leve"</formula>
    </cfRule>
  </conditionalFormatting>
  <conditionalFormatting sqref="AF107">
    <cfRule type="cellIs" dxfId="1684" priority="1919" operator="equal">
      <formula>"Extremo"</formula>
    </cfRule>
    <cfRule type="cellIs" dxfId="1683" priority="1920" operator="equal">
      <formula>"Alto"</formula>
    </cfRule>
    <cfRule type="cellIs" dxfId="1682" priority="1921" operator="equal">
      <formula>"Moderado"</formula>
    </cfRule>
    <cfRule type="cellIs" dxfId="1681" priority="1922" operator="equal">
      <formula>"Bajo"</formula>
    </cfRule>
  </conditionalFormatting>
  <conditionalFormatting sqref="AB108">
    <cfRule type="cellIs" dxfId="1680" priority="1914" operator="equal">
      <formula>"Muy Alta"</formula>
    </cfRule>
    <cfRule type="cellIs" dxfId="1679" priority="1915" operator="equal">
      <formula>"Alta"</formula>
    </cfRule>
    <cfRule type="cellIs" dxfId="1678" priority="1916" operator="equal">
      <formula>"Media"</formula>
    </cfRule>
    <cfRule type="cellIs" dxfId="1677" priority="1917" operator="equal">
      <formula>"Baja"</formula>
    </cfRule>
    <cfRule type="cellIs" dxfId="1676" priority="1918" operator="equal">
      <formula>"Muy Baja"</formula>
    </cfRule>
  </conditionalFormatting>
  <conditionalFormatting sqref="AD108">
    <cfRule type="cellIs" dxfId="1675" priority="1909" operator="equal">
      <formula>"Catastrófico"</formula>
    </cfRule>
    <cfRule type="cellIs" dxfId="1674" priority="1910" operator="equal">
      <formula>"Mayor"</formula>
    </cfRule>
    <cfRule type="cellIs" dxfId="1673" priority="1911" operator="equal">
      <formula>"Moderado"</formula>
    </cfRule>
    <cfRule type="cellIs" dxfId="1672" priority="1912" operator="equal">
      <formula>"Menor"</formula>
    </cfRule>
    <cfRule type="cellIs" dxfId="1671" priority="1913" operator="equal">
      <formula>"Leve"</formula>
    </cfRule>
  </conditionalFormatting>
  <conditionalFormatting sqref="AF108">
    <cfRule type="cellIs" dxfId="1670" priority="1905" operator="equal">
      <formula>"Extremo"</formula>
    </cfRule>
    <cfRule type="cellIs" dxfId="1669" priority="1906" operator="equal">
      <formula>"Alto"</formula>
    </cfRule>
    <cfRule type="cellIs" dxfId="1668" priority="1907" operator="equal">
      <formula>"Moderado"</formula>
    </cfRule>
    <cfRule type="cellIs" dxfId="1667" priority="1908" operator="equal">
      <formula>"Bajo"</formula>
    </cfRule>
  </conditionalFormatting>
  <conditionalFormatting sqref="AB124">
    <cfRule type="cellIs" dxfId="1666" priority="1900" operator="equal">
      <formula>"Muy Alta"</formula>
    </cfRule>
    <cfRule type="cellIs" dxfId="1665" priority="1901" operator="equal">
      <formula>"Alta"</formula>
    </cfRule>
    <cfRule type="cellIs" dxfId="1664" priority="1902" operator="equal">
      <formula>"Media"</formula>
    </cfRule>
    <cfRule type="cellIs" dxfId="1663" priority="1903" operator="equal">
      <formula>"Baja"</formula>
    </cfRule>
    <cfRule type="cellIs" dxfId="1662" priority="1904" operator="equal">
      <formula>"Muy Baja"</formula>
    </cfRule>
  </conditionalFormatting>
  <conditionalFormatting sqref="AD124">
    <cfRule type="cellIs" dxfId="1661" priority="1895" operator="equal">
      <formula>"Catastrófico"</formula>
    </cfRule>
    <cfRule type="cellIs" dxfId="1660" priority="1896" operator="equal">
      <formula>"Mayor"</formula>
    </cfRule>
    <cfRule type="cellIs" dxfId="1659" priority="1897" operator="equal">
      <formula>"Moderado"</formula>
    </cfRule>
    <cfRule type="cellIs" dxfId="1658" priority="1898" operator="equal">
      <formula>"Menor"</formula>
    </cfRule>
    <cfRule type="cellIs" dxfId="1657" priority="1899" operator="equal">
      <formula>"Leve"</formula>
    </cfRule>
  </conditionalFormatting>
  <conditionalFormatting sqref="AF124">
    <cfRule type="cellIs" dxfId="1656" priority="1891" operator="equal">
      <formula>"Extremo"</formula>
    </cfRule>
    <cfRule type="cellIs" dxfId="1655" priority="1892" operator="equal">
      <formula>"Alto"</formula>
    </cfRule>
    <cfRule type="cellIs" dxfId="1654" priority="1893" operator="equal">
      <formula>"Moderado"</formula>
    </cfRule>
    <cfRule type="cellIs" dxfId="1653" priority="1894" operator="equal">
      <formula>"Bajo"</formula>
    </cfRule>
  </conditionalFormatting>
  <conditionalFormatting sqref="AB125">
    <cfRule type="cellIs" dxfId="1652" priority="1886" operator="equal">
      <formula>"Muy Alta"</formula>
    </cfRule>
    <cfRule type="cellIs" dxfId="1651" priority="1887" operator="equal">
      <formula>"Alta"</formula>
    </cfRule>
    <cfRule type="cellIs" dxfId="1650" priority="1888" operator="equal">
      <formula>"Media"</formula>
    </cfRule>
    <cfRule type="cellIs" dxfId="1649" priority="1889" operator="equal">
      <formula>"Baja"</formula>
    </cfRule>
    <cfRule type="cellIs" dxfId="1648" priority="1890" operator="equal">
      <formula>"Muy Baja"</formula>
    </cfRule>
  </conditionalFormatting>
  <conditionalFormatting sqref="AD125">
    <cfRule type="cellIs" dxfId="1647" priority="1881" operator="equal">
      <formula>"Catastrófico"</formula>
    </cfRule>
    <cfRule type="cellIs" dxfId="1646" priority="1882" operator="equal">
      <formula>"Mayor"</formula>
    </cfRule>
    <cfRule type="cellIs" dxfId="1645" priority="1883" operator="equal">
      <formula>"Moderado"</formula>
    </cfRule>
    <cfRule type="cellIs" dxfId="1644" priority="1884" operator="equal">
      <formula>"Menor"</formula>
    </cfRule>
    <cfRule type="cellIs" dxfId="1643" priority="1885" operator="equal">
      <formula>"Leve"</formula>
    </cfRule>
  </conditionalFormatting>
  <conditionalFormatting sqref="AF125">
    <cfRule type="cellIs" dxfId="1642" priority="1877" operator="equal">
      <formula>"Extremo"</formula>
    </cfRule>
    <cfRule type="cellIs" dxfId="1641" priority="1878" operator="equal">
      <formula>"Alto"</formula>
    </cfRule>
    <cfRule type="cellIs" dxfId="1640" priority="1879" operator="equal">
      <formula>"Moderado"</formula>
    </cfRule>
    <cfRule type="cellIs" dxfId="1639" priority="1880" operator="equal">
      <formula>"Bajo"</formula>
    </cfRule>
  </conditionalFormatting>
  <conditionalFormatting sqref="AB126">
    <cfRule type="cellIs" dxfId="1638" priority="1872" operator="equal">
      <formula>"Muy Alta"</formula>
    </cfRule>
    <cfRule type="cellIs" dxfId="1637" priority="1873" operator="equal">
      <formula>"Alta"</formula>
    </cfRule>
    <cfRule type="cellIs" dxfId="1636" priority="1874" operator="equal">
      <formula>"Media"</formula>
    </cfRule>
    <cfRule type="cellIs" dxfId="1635" priority="1875" operator="equal">
      <formula>"Baja"</formula>
    </cfRule>
    <cfRule type="cellIs" dxfId="1634" priority="1876" operator="equal">
      <formula>"Muy Baja"</formula>
    </cfRule>
  </conditionalFormatting>
  <conditionalFormatting sqref="AD126">
    <cfRule type="cellIs" dxfId="1633" priority="1867" operator="equal">
      <formula>"Catastrófico"</formula>
    </cfRule>
    <cfRule type="cellIs" dxfId="1632" priority="1868" operator="equal">
      <formula>"Mayor"</formula>
    </cfRule>
    <cfRule type="cellIs" dxfId="1631" priority="1869" operator="equal">
      <formula>"Moderado"</formula>
    </cfRule>
    <cfRule type="cellIs" dxfId="1630" priority="1870" operator="equal">
      <formula>"Menor"</formula>
    </cfRule>
    <cfRule type="cellIs" dxfId="1629" priority="1871" operator="equal">
      <formula>"Leve"</formula>
    </cfRule>
  </conditionalFormatting>
  <conditionalFormatting sqref="AF126">
    <cfRule type="cellIs" dxfId="1628" priority="1863" operator="equal">
      <formula>"Extremo"</formula>
    </cfRule>
    <cfRule type="cellIs" dxfId="1627" priority="1864" operator="equal">
      <formula>"Alto"</formula>
    </cfRule>
    <cfRule type="cellIs" dxfId="1626" priority="1865" operator="equal">
      <formula>"Moderado"</formula>
    </cfRule>
    <cfRule type="cellIs" dxfId="1625" priority="1866" operator="equal">
      <formula>"Bajo"</formula>
    </cfRule>
  </conditionalFormatting>
  <conditionalFormatting sqref="K10">
    <cfRule type="cellIs" dxfId="1624" priority="1858" operator="equal">
      <formula>"Muy Alta"</formula>
    </cfRule>
    <cfRule type="cellIs" dxfId="1623" priority="1859" operator="equal">
      <formula>"Alta"</formula>
    </cfRule>
    <cfRule type="cellIs" dxfId="1622" priority="1860" operator="equal">
      <formula>"Media"</formula>
    </cfRule>
    <cfRule type="cellIs" dxfId="1621" priority="1861" operator="equal">
      <formula>"Baja"</formula>
    </cfRule>
    <cfRule type="cellIs" dxfId="1620" priority="1862" operator="equal">
      <formula>"Muy Baja"</formula>
    </cfRule>
  </conditionalFormatting>
  <conditionalFormatting sqref="O10">
    <cfRule type="cellIs" dxfId="1619" priority="1853" operator="equal">
      <formula>"Catastrófico"</formula>
    </cfRule>
    <cfRule type="cellIs" dxfId="1618" priority="1854" operator="equal">
      <formula>"Mayor"</formula>
    </cfRule>
    <cfRule type="cellIs" dxfId="1617" priority="1855" operator="equal">
      <formula>"Moderado"</formula>
    </cfRule>
    <cfRule type="cellIs" dxfId="1616" priority="1856" operator="equal">
      <formula>"Menor"</formula>
    </cfRule>
    <cfRule type="cellIs" dxfId="1615" priority="1857" operator="equal">
      <formula>"Leve"</formula>
    </cfRule>
  </conditionalFormatting>
  <conditionalFormatting sqref="Q10">
    <cfRule type="cellIs" dxfId="1614" priority="1849" operator="equal">
      <formula>"Extremo"</formula>
    </cfRule>
    <cfRule type="cellIs" dxfId="1613" priority="1850" operator="equal">
      <formula>"Alto"</formula>
    </cfRule>
    <cfRule type="cellIs" dxfId="1612" priority="1851" operator="equal">
      <formula>"Moderado"</formula>
    </cfRule>
    <cfRule type="cellIs" dxfId="1611" priority="1852" operator="equal">
      <formula>"Bajo"</formula>
    </cfRule>
  </conditionalFormatting>
  <conditionalFormatting sqref="N10:N12">
    <cfRule type="containsText" dxfId="1610" priority="1848" operator="containsText" text="❌">
      <formula>NOT(ISERROR(SEARCH("❌",N10)))</formula>
    </cfRule>
  </conditionalFormatting>
  <conditionalFormatting sqref="K13">
    <cfRule type="cellIs" dxfId="1609" priority="1843" operator="equal">
      <formula>"Muy Alta"</formula>
    </cfRule>
    <cfRule type="cellIs" dxfId="1608" priority="1844" operator="equal">
      <formula>"Alta"</formula>
    </cfRule>
    <cfRule type="cellIs" dxfId="1607" priority="1845" operator="equal">
      <formula>"Media"</formula>
    </cfRule>
    <cfRule type="cellIs" dxfId="1606" priority="1846" operator="equal">
      <formula>"Baja"</formula>
    </cfRule>
    <cfRule type="cellIs" dxfId="1605" priority="1847" operator="equal">
      <formula>"Muy Baja"</formula>
    </cfRule>
  </conditionalFormatting>
  <conditionalFormatting sqref="O13">
    <cfRule type="cellIs" dxfId="1604" priority="1838" operator="equal">
      <formula>"Catastrófico"</formula>
    </cfRule>
    <cfRule type="cellIs" dxfId="1603" priority="1839" operator="equal">
      <formula>"Mayor"</formula>
    </cfRule>
    <cfRule type="cellIs" dxfId="1602" priority="1840" operator="equal">
      <formula>"Moderado"</formula>
    </cfRule>
    <cfRule type="cellIs" dxfId="1601" priority="1841" operator="equal">
      <formula>"Menor"</formula>
    </cfRule>
    <cfRule type="cellIs" dxfId="1600" priority="1842" operator="equal">
      <formula>"Leve"</formula>
    </cfRule>
  </conditionalFormatting>
  <conditionalFormatting sqref="Q13">
    <cfRule type="cellIs" dxfId="1599" priority="1834" operator="equal">
      <formula>"Extremo"</formula>
    </cfRule>
    <cfRule type="cellIs" dxfId="1598" priority="1835" operator="equal">
      <formula>"Alto"</formula>
    </cfRule>
    <cfRule type="cellIs" dxfId="1597" priority="1836" operator="equal">
      <formula>"Moderado"</formula>
    </cfRule>
    <cfRule type="cellIs" dxfId="1596" priority="1837" operator="equal">
      <formula>"Bajo"</formula>
    </cfRule>
  </conditionalFormatting>
  <conditionalFormatting sqref="N13:N15">
    <cfRule type="containsText" dxfId="1595" priority="1833" operator="containsText" text="❌">
      <formula>NOT(ISERROR(SEARCH("❌",N13)))</formula>
    </cfRule>
  </conditionalFormatting>
  <conditionalFormatting sqref="K16">
    <cfRule type="cellIs" dxfId="1594" priority="1813" operator="equal">
      <formula>"Muy Alta"</formula>
    </cfRule>
    <cfRule type="cellIs" dxfId="1593" priority="1814" operator="equal">
      <formula>"Alta"</formula>
    </cfRule>
    <cfRule type="cellIs" dxfId="1592" priority="1815" operator="equal">
      <formula>"Media"</formula>
    </cfRule>
    <cfRule type="cellIs" dxfId="1591" priority="1816" operator="equal">
      <formula>"Baja"</formula>
    </cfRule>
    <cfRule type="cellIs" dxfId="1590" priority="1817" operator="equal">
      <formula>"Muy Baja"</formula>
    </cfRule>
  </conditionalFormatting>
  <conditionalFormatting sqref="O16">
    <cfRule type="cellIs" dxfId="1589" priority="1808" operator="equal">
      <formula>"Catastrófico"</formula>
    </cfRule>
    <cfRule type="cellIs" dxfId="1588" priority="1809" operator="equal">
      <formula>"Mayor"</formula>
    </cfRule>
    <cfRule type="cellIs" dxfId="1587" priority="1810" operator="equal">
      <formula>"Moderado"</formula>
    </cfRule>
    <cfRule type="cellIs" dxfId="1586" priority="1811" operator="equal">
      <formula>"Menor"</formula>
    </cfRule>
    <cfRule type="cellIs" dxfId="1585" priority="1812" operator="equal">
      <formula>"Leve"</formula>
    </cfRule>
  </conditionalFormatting>
  <conditionalFormatting sqref="Q16">
    <cfRule type="cellIs" dxfId="1584" priority="1804" operator="equal">
      <formula>"Extremo"</formula>
    </cfRule>
    <cfRule type="cellIs" dxfId="1583" priority="1805" operator="equal">
      <formula>"Alto"</formula>
    </cfRule>
    <cfRule type="cellIs" dxfId="1582" priority="1806" operator="equal">
      <formula>"Moderado"</formula>
    </cfRule>
    <cfRule type="cellIs" dxfId="1581" priority="1807" operator="equal">
      <formula>"Bajo"</formula>
    </cfRule>
  </conditionalFormatting>
  <conditionalFormatting sqref="N16:N18">
    <cfRule type="containsText" dxfId="1580" priority="1803" operator="containsText" text="❌">
      <formula>NOT(ISERROR(SEARCH("❌",N16)))</formula>
    </cfRule>
  </conditionalFormatting>
  <conditionalFormatting sqref="K19">
    <cfRule type="cellIs" dxfId="1579" priority="1798" operator="equal">
      <formula>"Muy Alta"</formula>
    </cfRule>
    <cfRule type="cellIs" dxfId="1578" priority="1799" operator="equal">
      <formula>"Alta"</formula>
    </cfRule>
    <cfRule type="cellIs" dxfId="1577" priority="1800" operator="equal">
      <formula>"Media"</formula>
    </cfRule>
    <cfRule type="cellIs" dxfId="1576" priority="1801" operator="equal">
      <formula>"Baja"</formula>
    </cfRule>
    <cfRule type="cellIs" dxfId="1575" priority="1802" operator="equal">
      <formula>"Muy Baja"</formula>
    </cfRule>
  </conditionalFormatting>
  <conditionalFormatting sqref="O19">
    <cfRule type="cellIs" dxfId="1574" priority="1793" operator="equal">
      <formula>"Catastrófico"</formula>
    </cfRule>
    <cfRule type="cellIs" dxfId="1573" priority="1794" operator="equal">
      <formula>"Mayor"</formula>
    </cfRule>
    <cfRule type="cellIs" dxfId="1572" priority="1795" operator="equal">
      <formula>"Moderado"</formula>
    </cfRule>
    <cfRule type="cellIs" dxfId="1571" priority="1796" operator="equal">
      <formula>"Menor"</formula>
    </cfRule>
    <cfRule type="cellIs" dxfId="1570" priority="1797" operator="equal">
      <formula>"Leve"</formula>
    </cfRule>
  </conditionalFormatting>
  <conditionalFormatting sqref="Q19">
    <cfRule type="cellIs" dxfId="1569" priority="1789" operator="equal">
      <formula>"Extremo"</formula>
    </cfRule>
    <cfRule type="cellIs" dxfId="1568" priority="1790" operator="equal">
      <formula>"Alto"</formula>
    </cfRule>
    <cfRule type="cellIs" dxfId="1567" priority="1791" operator="equal">
      <formula>"Moderado"</formula>
    </cfRule>
    <cfRule type="cellIs" dxfId="1566" priority="1792" operator="equal">
      <formula>"Bajo"</formula>
    </cfRule>
  </conditionalFormatting>
  <conditionalFormatting sqref="N19:N21">
    <cfRule type="containsText" dxfId="1565" priority="1788" operator="containsText" text="❌">
      <formula>NOT(ISERROR(SEARCH("❌",N19)))</formula>
    </cfRule>
  </conditionalFormatting>
  <conditionalFormatting sqref="K22">
    <cfRule type="cellIs" dxfId="1564" priority="1783" operator="equal">
      <formula>"Muy Alta"</formula>
    </cfRule>
    <cfRule type="cellIs" dxfId="1563" priority="1784" operator="equal">
      <formula>"Alta"</formula>
    </cfRule>
    <cfRule type="cellIs" dxfId="1562" priority="1785" operator="equal">
      <formula>"Media"</formula>
    </cfRule>
    <cfRule type="cellIs" dxfId="1561" priority="1786" operator="equal">
      <formula>"Baja"</formula>
    </cfRule>
    <cfRule type="cellIs" dxfId="1560" priority="1787" operator="equal">
      <formula>"Muy Baja"</formula>
    </cfRule>
  </conditionalFormatting>
  <conditionalFormatting sqref="O22">
    <cfRule type="cellIs" dxfId="1559" priority="1778" operator="equal">
      <formula>"Catastrófico"</formula>
    </cfRule>
    <cfRule type="cellIs" dxfId="1558" priority="1779" operator="equal">
      <formula>"Mayor"</formula>
    </cfRule>
    <cfRule type="cellIs" dxfId="1557" priority="1780" operator="equal">
      <formula>"Moderado"</formula>
    </cfRule>
    <cfRule type="cellIs" dxfId="1556" priority="1781" operator="equal">
      <formula>"Menor"</formula>
    </cfRule>
    <cfRule type="cellIs" dxfId="1555" priority="1782" operator="equal">
      <formula>"Leve"</formula>
    </cfRule>
  </conditionalFormatting>
  <conditionalFormatting sqref="Q22">
    <cfRule type="cellIs" dxfId="1554" priority="1774" operator="equal">
      <formula>"Extremo"</formula>
    </cfRule>
    <cfRule type="cellIs" dxfId="1553" priority="1775" operator="equal">
      <formula>"Alto"</formula>
    </cfRule>
    <cfRule type="cellIs" dxfId="1552" priority="1776" operator="equal">
      <formula>"Moderado"</formula>
    </cfRule>
    <cfRule type="cellIs" dxfId="1551" priority="1777" operator="equal">
      <formula>"Bajo"</formula>
    </cfRule>
  </conditionalFormatting>
  <conditionalFormatting sqref="N22:N24">
    <cfRule type="containsText" dxfId="1550" priority="1773" operator="containsText" text="❌">
      <formula>NOT(ISERROR(SEARCH("❌",N22)))</formula>
    </cfRule>
  </conditionalFormatting>
  <conditionalFormatting sqref="K25">
    <cfRule type="cellIs" dxfId="1549" priority="1768" operator="equal">
      <formula>"Muy Alta"</formula>
    </cfRule>
    <cfRule type="cellIs" dxfId="1548" priority="1769" operator="equal">
      <formula>"Alta"</formula>
    </cfRule>
    <cfRule type="cellIs" dxfId="1547" priority="1770" operator="equal">
      <formula>"Media"</formula>
    </cfRule>
    <cfRule type="cellIs" dxfId="1546" priority="1771" operator="equal">
      <formula>"Baja"</formula>
    </cfRule>
    <cfRule type="cellIs" dxfId="1545" priority="1772" operator="equal">
      <formula>"Muy Baja"</formula>
    </cfRule>
  </conditionalFormatting>
  <conditionalFormatting sqref="O25">
    <cfRule type="cellIs" dxfId="1544" priority="1763" operator="equal">
      <formula>"Catastrófico"</formula>
    </cfRule>
    <cfRule type="cellIs" dxfId="1543" priority="1764" operator="equal">
      <formula>"Mayor"</formula>
    </cfRule>
    <cfRule type="cellIs" dxfId="1542" priority="1765" operator="equal">
      <formula>"Moderado"</formula>
    </cfRule>
    <cfRule type="cellIs" dxfId="1541" priority="1766" operator="equal">
      <formula>"Menor"</formula>
    </cfRule>
    <cfRule type="cellIs" dxfId="1540" priority="1767" operator="equal">
      <formula>"Leve"</formula>
    </cfRule>
  </conditionalFormatting>
  <conditionalFormatting sqref="Q25">
    <cfRule type="cellIs" dxfId="1539" priority="1759" operator="equal">
      <formula>"Extremo"</formula>
    </cfRule>
    <cfRule type="cellIs" dxfId="1538" priority="1760" operator="equal">
      <formula>"Alto"</formula>
    </cfRule>
    <cfRule type="cellIs" dxfId="1537" priority="1761" operator="equal">
      <formula>"Moderado"</formula>
    </cfRule>
    <cfRule type="cellIs" dxfId="1536" priority="1762" operator="equal">
      <formula>"Bajo"</formula>
    </cfRule>
  </conditionalFormatting>
  <conditionalFormatting sqref="N25:N27">
    <cfRule type="containsText" dxfId="1535" priority="1758" operator="containsText" text="❌">
      <formula>NOT(ISERROR(SEARCH("❌",N25)))</formula>
    </cfRule>
  </conditionalFormatting>
  <conditionalFormatting sqref="K28">
    <cfRule type="cellIs" dxfId="1534" priority="1753" operator="equal">
      <formula>"Muy Alta"</formula>
    </cfRule>
    <cfRule type="cellIs" dxfId="1533" priority="1754" operator="equal">
      <formula>"Alta"</formula>
    </cfRule>
    <cfRule type="cellIs" dxfId="1532" priority="1755" operator="equal">
      <formula>"Media"</formula>
    </cfRule>
    <cfRule type="cellIs" dxfId="1531" priority="1756" operator="equal">
      <formula>"Baja"</formula>
    </cfRule>
    <cfRule type="cellIs" dxfId="1530" priority="1757" operator="equal">
      <formula>"Muy Baja"</formula>
    </cfRule>
  </conditionalFormatting>
  <conditionalFormatting sqref="O28">
    <cfRule type="cellIs" dxfId="1529" priority="1748" operator="equal">
      <formula>"Catastrófico"</formula>
    </cfRule>
    <cfRule type="cellIs" dxfId="1528" priority="1749" operator="equal">
      <formula>"Mayor"</formula>
    </cfRule>
    <cfRule type="cellIs" dxfId="1527" priority="1750" operator="equal">
      <formula>"Moderado"</formula>
    </cfRule>
    <cfRule type="cellIs" dxfId="1526" priority="1751" operator="equal">
      <formula>"Menor"</formula>
    </cfRule>
    <cfRule type="cellIs" dxfId="1525" priority="1752" operator="equal">
      <formula>"Leve"</formula>
    </cfRule>
  </conditionalFormatting>
  <conditionalFormatting sqref="Q28">
    <cfRule type="cellIs" dxfId="1524" priority="1744" operator="equal">
      <formula>"Extremo"</formula>
    </cfRule>
    <cfRule type="cellIs" dxfId="1523" priority="1745" operator="equal">
      <formula>"Alto"</formula>
    </cfRule>
    <cfRule type="cellIs" dxfId="1522" priority="1746" operator="equal">
      <formula>"Moderado"</formula>
    </cfRule>
    <cfRule type="cellIs" dxfId="1521" priority="1747" operator="equal">
      <formula>"Bajo"</formula>
    </cfRule>
  </conditionalFormatting>
  <conditionalFormatting sqref="N28:N30">
    <cfRule type="containsText" dxfId="1520" priority="1743" operator="containsText" text="❌">
      <formula>NOT(ISERROR(SEARCH("❌",N28)))</formula>
    </cfRule>
  </conditionalFormatting>
  <conditionalFormatting sqref="K31">
    <cfRule type="cellIs" dxfId="1519" priority="1738" operator="equal">
      <formula>"Muy Alta"</formula>
    </cfRule>
    <cfRule type="cellIs" dxfId="1518" priority="1739" operator="equal">
      <formula>"Alta"</formula>
    </cfRule>
    <cfRule type="cellIs" dxfId="1517" priority="1740" operator="equal">
      <formula>"Media"</formula>
    </cfRule>
    <cfRule type="cellIs" dxfId="1516" priority="1741" operator="equal">
      <formula>"Baja"</formula>
    </cfRule>
    <cfRule type="cellIs" dxfId="1515" priority="1742" operator="equal">
      <formula>"Muy Baja"</formula>
    </cfRule>
  </conditionalFormatting>
  <conditionalFormatting sqref="O31">
    <cfRule type="cellIs" dxfId="1514" priority="1733" operator="equal">
      <formula>"Catastrófico"</formula>
    </cfRule>
    <cfRule type="cellIs" dxfId="1513" priority="1734" operator="equal">
      <formula>"Mayor"</formula>
    </cfRule>
    <cfRule type="cellIs" dxfId="1512" priority="1735" operator="equal">
      <formula>"Moderado"</formula>
    </cfRule>
    <cfRule type="cellIs" dxfId="1511" priority="1736" operator="equal">
      <formula>"Menor"</formula>
    </cfRule>
    <cfRule type="cellIs" dxfId="1510" priority="1737" operator="equal">
      <formula>"Leve"</formula>
    </cfRule>
  </conditionalFormatting>
  <conditionalFormatting sqref="Q31">
    <cfRule type="cellIs" dxfId="1509" priority="1729" operator="equal">
      <formula>"Extremo"</formula>
    </cfRule>
    <cfRule type="cellIs" dxfId="1508" priority="1730" operator="equal">
      <formula>"Alto"</formula>
    </cfRule>
    <cfRule type="cellIs" dxfId="1507" priority="1731" operator="equal">
      <formula>"Moderado"</formula>
    </cfRule>
    <cfRule type="cellIs" dxfId="1506" priority="1732" operator="equal">
      <formula>"Bajo"</formula>
    </cfRule>
  </conditionalFormatting>
  <conditionalFormatting sqref="N31:N33">
    <cfRule type="containsText" dxfId="1505" priority="1728" operator="containsText" text="❌">
      <formula>NOT(ISERROR(SEARCH("❌",N31)))</formula>
    </cfRule>
  </conditionalFormatting>
  <conditionalFormatting sqref="K34">
    <cfRule type="cellIs" dxfId="1504" priority="1723" operator="equal">
      <formula>"Muy Alta"</formula>
    </cfRule>
    <cfRule type="cellIs" dxfId="1503" priority="1724" operator="equal">
      <formula>"Alta"</formula>
    </cfRule>
    <cfRule type="cellIs" dxfId="1502" priority="1725" operator="equal">
      <formula>"Media"</formula>
    </cfRule>
    <cfRule type="cellIs" dxfId="1501" priority="1726" operator="equal">
      <formula>"Baja"</formula>
    </cfRule>
    <cfRule type="cellIs" dxfId="1500" priority="1727" operator="equal">
      <formula>"Muy Baja"</formula>
    </cfRule>
  </conditionalFormatting>
  <conditionalFormatting sqref="O34">
    <cfRule type="cellIs" dxfId="1499" priority="1718" operator="equal">
      <formula>"Catastrófico"</formula>
    </cfRule>
    <cfRule type="cellIs" dxfId="1498" priority="1719" operator="equal">
      <formula>"Mayor"</formula>
    </cfRule>
    <cfRule type="cellIs" dxfId="1497" priority="1720" operator="equal">
      <formula>"Moderado"</formula>
    </cfRule>
    <cfRule type="cellIs" dxfId="1496" priority="1721" operator="equal">
      <formula>"Menor"</formula>
    </cfRule>
    <cfRule type="cellIs" dxfId="1495" priority="1722" operator="equal">
      <formula>"Leve"</formula>
    </cfRule>
  </conditionalFormatting>
  <conditionalFormatting sqref="Q34">
    <cfRule type="cellIs" dxfId="1494" priority="1714" operator="equal">
      <formula>"Extremo"</formula>
    </cfRule>
    <cfRule type="cellIs" dxfId="1493" priority="1715" operator="equal">
      <formula>"Alto"</formula>
    </cfRule>
    <cfRule type="cellIs" dxfId="1492" priority="1716" operator="equal">
      <formula>"Moderado"</formula>
    </cfRule>
    <cfRule type="cellIs" dxfId="1491" priority="1717" operator="equal">
      <formula>"Bajo"</formula>
    </cfRule>
  </conditionalFormatting>
  <conditionalFormatting sqref="N34:N36">
    <cfRule type="containsText" dxfId="1490" priority="1713" operator="containsText" text="❌">
      <formula>NOT(ISERROR(SEARCH("❌",N34)))</formula>
    </cfRule>
  </conditionalFormatting>
  <conditionalFormatting sqref="K37">
    <cfRule type="cellIs" dxfId="1489" priority="1708" operator="equal">
      <formula>"Muy Alta"</formula>
    </cfRule>
    <cfRule type="cellIs" dxfId="1488" priority="1709" operator="equal">
      <formula>"Alta"</formula>
    </cfRule>
    <cfRule type="cellIs" dxfId="1487" priority="1710" operator="equal">
      <formula>"Media"</formula>
    </cfRule>
    <cfRule type="cellIs" dxfId="1486" priority="1711" operator="equal">
      <formula>"Baja"</formula>
    </cfRule>
    <cfRule type="cellIs" dxfId="1485" priority="1712" operator="equal">
      <formula>"Muy Baja"</formula>
    </cfRule>
  </conditionalFormatting>
  <conditionalFormatting sqref="O37">
    <cfRule type="cellIs" dxfId="1484" priority="1703" operator="equal">
      <formula>"Catastrófico"</formula>
    </cfRule>
    <cfRule type="cellIs" dxfId="1483" priority="1704" operator="equal">
      <formula>"Mayor"</formula>
    </cfRule>
    <cfRule type="cellIs" dxfId="1482" priority="1705" operator="equal">
      <formula>"Moderado"</formula>
    </cfRule>
    <cfRule type="cellIs" dxfId="1481" priority="1706" operator="equal">
      <formula>"Menor"</formula>
    </cfRule>
    <cfRule type="cellIs" dxfId="1480" priority="1707" operator="equal">
      <formula>"Leve"</formula>
    </cfRule>
  </conditionalFormatting>
  <conditionalFormatting sqref="Q37">
    <cfRule type="cellIs" dxfId="1479" priority="1699" operator="equal">
      <formula>"Extremo"</formula>
    </cfRule>
    <cfRule type="cellIs" dxfId="1478" priority="1700" operator="equal">
      <formula>"Alto"</formula>
    </cfRule>
    <cfRule type="cellIs" dxfId="1477" priority="1701" operator="equal">
      <formula>"Moderado"</formula>
    </cfRule>
    <cfRule type="cellIs" dxfId="1476" priority="1702" operator="equal">
      <formula>"Bajo"</formula>
    </cfRule>
  </conditionalFormatting>
  <conditionalFormatting sqref="N37:N39">
    <cfRule type="containsText" dxfId="1475" priority="1698" operator="containsText" text="❌">
      <formula>NOT(ISERROR(SEARCH("❌",N37)))</formula>
    </cfRule>
  </conditionalFormatting>
  <conditionalFormatting sqref="K40">
    <cfRule type="cellIs" dxfId="1474" priority="1693" operator="equal">
      <formula>"Muy Alta"</formula>
    </cfRule>
    <cfRule type="cellIs" dxfId="1473" priority="1694" operator="equal">
      <formula>"Alta"</formula>
    </cfRule>
    <cfRule type="cellIs" dxfId="1472" priority="1695" operator="equal">
      <formula>"Media"</formula>
    </cfRule>
    <cfRule type="cellIs" dxfId="1471" priority="1696" operator="equal">
      <formula>"Baja"</formula>
    </cfRule>
    <cfRule type="cellIs" dxfId="1470" priority="1697" operator="equal">
      <formula>"Muy Baja"</formula>
    </cfRule>
  </conditionalFormatting>
  <conditionalFormatting sqref="O40">
    <cfRule type="cellIs" dxfId="1469" priority="1688" operator="equal">
      <formula>"Catastrófico"</formula>
    </cfRule>
    <cfRule type="cellIs" dxfId="1468" priority="1689" operator="equal">
      <formula>"Mayor"</formula>
    </cfRule>
    <cfRule type="cellIs" dxfId="1467" priority="1690" operator="equal">
      <formula>"Moderado"</formula>
    </cfRule>
    <cfRule type="cellIs" dxfId="1466" priority="1691" operator="equal">
      <formula>"Menor"</formula>
    </cfRule>
    <cfRule type="cellIs" dxfId="1465" priority="1692" operator="equal">
      <formula>"Leve"</formula>
    </cfRule>
  </conditionalFormatting>
  <conditionalFormatting sqref="Q40">
    <cfRule type="cellIs" dxfId="1464" priority="1684" operator="equal">
      <formula>"Extremo"</formula>
    </cfRule>
    <cfRule type="cellIs" dxfId="1463" priority="1685" operator="equal">
      <formula>"Alto"</formula>
    </cfRule>
    <cfRule type="cellIs" dxfId="1462" priority="1686" operator="equal">
      <formula>"Moderado"</formula>
    </cfRule>
    <cfRule type="cellIs" dxfId="1461" priority="1687" operator="equal">
      <formula>"Bajo"</formula>
    </cfRule>
  </conditionalFormatting>
  <conditionalFormatting sqref="N40:N42">
    <cfRule type="containsText" dxfId="1460" priority="1683" operator="containsText" text="❌">
      <formula>NOT(ISERROR(SEARCH("❌",N40)))</formula>
    </cfRule>
  </conditionalFormatting>
  <conditionalFormatting sqref="K43">
    <cfRule type="cellIs" dxfId="1459" priority="1663" operator="equal">
      <formula>"Muy Alta"</formula>
    </cfRule>
    <cfRule type="cellIs" dxfId="1458" priority="1664" operator="equal">
      <formula>"Alta"</formula>
    </cfRule>
    <cfRule type="cellIs" dxfId="1457" priority="1665" operator="equal">
      <formula>"Media"</formula>
    </cfRule>
    <cfRule type="cellIs" dxfId="1456" priority="1666" operator="equal">
      <formula>"Baja"</formula>
    </cfRule>
    <cfRule type="cellIs" dxfId="1455" priority="1667" operator="equal">
      <formula>"Muy Baja"</formula>
    </cfRule>
  </conditionalFormatting>
  <conditionalFormatting sqref="O43">
    <cfRule type="cellIs" dxfId="1454" priority="1658" operator="equal">
      <formula>"Catastrófico"</formula>
    </cfRule>
    <cfRule type="cellIs" dxfId="1453" priority="1659" operator="equal">
      <formula>"Mayor"</formula>
    </cfRule>
    <cfRule type="cellIs" dxfId="1452" priority="1660" operator="equal">
      <formula>"Moderado"</formula>
    </cfRule>
    <cfRule type="cellIs" dxfId="1451" priority="1661" operator="equal">
      <formula>"Menor"</formula>
    </cfRule>
    <cfRule type="cellIs" dxfId="1450" priority="1662" operator="equal">
      <formula>"Leve"</formula>
    </cfRule>
  </conditionalFormatting>
  <conditionalFormatting sqref="Q43">
    <cfRule type="cellIs" dxfId="1449" priority="1654" operator="equal">
      <formula>"Extremo"</formula>
    </cfRule>
    <cfRule type="cellIs" dxfId="1448" priority="1655" operator="equal">
      <formula>"Alto"</formula>
    </cfRule>
    <cfRule type="cellIs" dxfId="1447" priority="1656" operator="equal">
      <formula>"Moderado"</formula>
    </cfRule>
    <cfRule type="cellIs" dxfId="1446" priority="1657" operator="equal">
      <formula>"Bajo"</formula>
    </cfRule>
  </conditionalFormatting>
  <conditionalFormatting sqref="N43:N45">
    <cfRule type="containsText" dxfId="1445" priority="1653" operator="containsText" text="❌">
      <formula>NOT(ISERROR(SEARCH("❌",N43)))</formula>
    </cfRule>
  </conditionalFormatting>
  <conditionalFormatting sqref="K46">
    <cfRule type="cellIs" dxfId="1444" priority="1648" operator="equal">
      <formula>"Muy Alta"</formula>
    </cfRule>
    <cfRule type="cellIs" dxfId="1443" priority="1649" operator="equal">
      <formula>"Alta"</formula>
    </cfRule>
    <cfRule type="cellIs" dxfId="1442" priority="1650" operator="equal">
      <formula>"Media"</formula>
    </cfRule>
    <cfRule type="cellIs" dxfId="1441" priority="1651" operator="equal">
      <formula>"Baja"</formula>
    </cfRule>
    <cfRule type="cellIs" dxfId="1440" priority="1652" operator="equal">
      <formula>"Muy Baja"</formula>
    </cfRule>
  </conditionalFormatting>
  <conditionalFormatting sqref="O46">
    <cfRule type="cellIs" dxfId="1439" priority="1643" operator="equal">
      <formula>"Catastrófico"</formula>
    </cfRule>
    <cfRule type="cellIs" dxfId="1438" priority="1644" operator="equal">
      <formula>"Mayor"</formula>
    </cfRule>
    <cfRule type="cellIs" dxfId="1437" priority="1645" operator="equal">
      <formula>"Moderado"</formula>
    </cfRule>
    <cfRule type="cellIs" dxfId="1436" priority="1646" operator="equal">
      <formula>"Menor"</formula>
    </cfRule>
    <cfRule type="cellIs" dxfId="1435" priority="1647" operator="equal">
      <formula>"Leve"</formula>
    </cfRule>
  </conditionalFormatting>
  <conditionalFormatting sqref="Q46">
    <cfRule type="cellIs" dxfId="1434" priority="1639" operator="equal">
      <formula>"Extremo"</formula>
    </cfRule>
    <cfRule type="cellIs" dxfId="1433" priority="1640" operator="equal">
      <formula>"Alto"</formula>
    </cfRule>
    <cfRule type="cellIs" dxfId="1432" priority="1641" operator="equal">
      <formula>"Moderado"</formula>
    </cfRule>
    <cfRule type="cellIs" dxfId="1431" priority="1642" operator="equal">
      <formula>"Bajo"</formula>
    </cfRule>
  </conditionalFormatting>
  <conditionalFormatting sqref="N46:N48">
    <cfRule type="containsText" dxfId="1430" priority="1638" operator="containsText" text="❌">
      <formula>NOT(ISERROR(SEARCH("❌",N46)))</formula>
    </cfRule>
  </conditionalFormatting>
  <conditionalFormatting sqref="K49">
    <cfRule type="cellIs" dxfId="1429" priority="1633" operator="equal">
      <formula>"Muy Alta"</formula>
    </cfRule>
    <cfRule type="cellIs" dxfId="1428" priority="1634" operator="equal">
      <formula>"Alta"</formula>
    </cfRule>
    <cfRule type="cellIs" dxfId="1427" priority="1635" operator="equal">
      <formula>"Media"</formula>
    </cfRule>
    <cfRule type="cellIs" dxfId="1426" priority="1636" operator="equal">
      <formula>"Baja"</formula>
    </cfRule>
    <cfRule type="cellIs" dxfId="1425" priority="1637" operator="equal">
      <formula>"Muy Baja"</formula>
    </cfRule>
  </conditionalFormatting>
  <conditionalFormatting sqref="O49">
    <cfRule type="cellIs" dxfId="1424" priority="1628" operator="equal">
      <formula>"Catastrófico"</formula>
    </cfRule>
    <cfRule type="cellIs" dxfId="1423" priority="1629" operator="equal">
      <formula>"Mayor"</formula>
    </cfRule>
    <cfRule type="cellIs" dxfId="1422" priority="1630" operator="equal">
      <formula>"Moderado"</formula>
    </cfRule>
    <cfRule type="cellIs" dxfId="1421" priority="1631" operator="equal">
      <formula>"Menor"</formula>
    </cfRule>
    <cfRule type="cellIs" dxfId="1420" priority="1632" operator="equal">
      <formula>"Leve"</formula>
    </cfRule>
  </conditionalFormatting>
  <conditionalFormatting sqref="Q49">
    <cfRule type="cellIs" dxfId="1419" priority="1624" operator="equal">
      <formula>"Extremo"</formula>
    </cfRule>
    <cfRule type="cellIs" dxfId="1418" priority="1625" operator="equal">
      <formula>"Alto"</formula>
    </cfRule>
    <cfRule type="cellIs" dxfId="1417" priority="1626" operator="equal">
      <formula>"Moderado"</formula>
    </cfRule>
    <cfRule type="cellIs" dxfId="1416" priority="1627" operator="equal">
      <formula>"Bajo"</formula>
    </cfRule>
  </conditionalFormatting>
  <conditionalFormatting sqref="N49:N51">
    <cfRule type="containsText" dxfId="1415" priority="1623" operator="containsText" text="❌">
      <formula>NOT(ISERROR(SEARCH("❌",N49)))</formula>
    </cfRule>
  </conditionalFormatting>
  <conditionalFormatting sqref="K52">
    <cfRule type="cellIs" dxfId="1414" priority="1618" operator="equal">
      <formula>"Muy Alta"</formula>
    </cfRule>
    <cfRule type="cellIs" dxfId="1413" priority="1619" operator="equal">
      <formula>"Alta"</formula>
    </cfRule>
    <cfRule type="cellIs" dxfId="1412" priority="1620" operator="equal">
      <formula>"Media"</formula>
    </cfRule>
    <cfRule type="cellIs" dxfId="1411" priority="1621" operator="equal">
      <formula>"Baja"</formula>
    </cfRule>
    <cfRule type="cellIs" dxfId="1410" priority="1622" operator="equal">
      <formula>"Muy Baja"</formula>
    </cfRule>
  </conditionalFormatting>
  <conditionalFormatting sqref="O52">
    <cfRule type="cellIs" dxfId="1409" priority="1613" operator="equal">
      <formula>"Catastrófico"</formula>
    </cfRule>
    <cfRule type="cellIs" dxfId="1408" priority="1614" operator="equal">
      <formula>"Mayor"</formula>
    </cfRule>
    <cfRule type="cellIs" dxfId="1407" priority="1615" operator="equal">
      <formula>"Moderado"</formula>
    </cfRule>
    <cfRule type="cellIs" dxfId="1406" priority="1616" operator="equal">
      <formula>"Menor"</formula>
    </cfRule>
    <cfRule type="cellIs" dxfId="1405" priority="1617" operator="equal">
      <formula>"Leve"</formula>
    </cfRule>
  </conditionalFormatting>
  <conditionalFormatting sqref="Q52">
    <cfRule type="cellIs" dxfId="1404" priority="1609" operator="equal">
      <formula>"Extremo"</formula>
    </cfRule>
    <cfRule type="cellIs" dxfId="1403" priority="1610" operator="equal">
      <formula>"Alto"</formula>
    </cfRule>
    <cfRule type="cellIs" dxfId="1402" priority="1611" operator="equal">
      <formula>"Moderado"</formula>
    </cfRule>
    <cfRule type="cellIs" dxfId="1401" priority="1612" operator="equal">
      <formula>"Bajo"</formula>
    </cfRule>
  </conditionalFormatting>
  <conditionalFormatting sqref="N52:N54">
    <cfRule type="containsText" dxfId="1400" priority="1608" operator="containsText" text="❌">
      <formula>NOT(ISERROR(SEARCH("❌",N52)))</formula>
    </cfRule>
  </conditionalFormatting>
  <conditionalFormatting sqref="K55">
    <cfRule type="cellIs" dxfId="1399" priority="1603" operator="equal">
      <formula>"Muy Alta"</formula>
    </cfRule>
    <cfRule type="cellIs" dxfId="1398" priority="1604" operator="equal">
      <formula>"Alta"</formula>
    </cfRule>
    <cfRule type="cellIs" dxfId="1397" priority="1605" operator="equal">
      <formula>"Media"</formula>
    </cfRule>
    <cfRule type="cellIs" dxfId="1396" priority="1606" operator="equal">
      <formula>"Baja"</formula>
    </cfRule>
    <cfRule type="cellIs" dxfId="1395" priority="1607" operator="equal">
      <formula>"Muy Baja"</formula>
    </cfRule>
  </conditionalFormatting>
  <conditionalFormatting sqref="O55">
    <cfRule type="cellIs" dxfId="1394" priority="1598" operator="equal">
      <formula>"Catastrófico"</formula>
    </cfRule>
    <cfRule type="cellIs" dxfId="1393" priority="1599" operator="equal">
      <formula>"Mayor"</formula>
    </cfRule>
    <cfRule type="cellIs" dxfId="1392" priority="1600" operator="equal">
      <formula>"Moderado"</formula>
    </cfRule>
    <cfRule type="cellIs" dxfId="1391" priority="1601" operator="equal">
      <formula>"Menor"</formula>
    </cfRule>
    <cfRule type="cellIs" dxfId="1390" priority="1602" operator="equal">
      <formula>"Leve"</formula>
    </cfRule>
  </conditionalFormatting>
  <conditionalFormatting sqref="Q55">
    <cfRule type="cellIs" dxfId="1389" priority="1594" operator="equal">
      <formula>"Extremo"</formula>
    </cfRule>
    <cfRule type="cellIs" dxfId="1388" priority="1595" operator="equal">
      <formula>"Alto"</formula>
    </cfRule>
    <cfRule type="cellIs" dxfId="1387" priority="1596" operator="equal">
      <formula>"Moderado"</formula>
    </cfRule>
    <cfRule type="cellIs" dxfId="1386" priority="1597" operator="equal">
      <formula>"Bajo"</formula>
    </cfRule>
  </conditionalFormatting>
  <conditionalFormatting sqref="N55:N57">
    <cfRule type="containsText" dxfId="1385" priority="1593" operator="containsText" text="❌">
      <formula>NOT(ISERROR(SEARCH("❌",N55)))</formula>
    </cfRule>
  </conditionalFormatting>
  <conditionalFormatting sqref="K58">
    <cfRule type="cellIs" dxfId="1384" priority="1588" operator="equal">
      <formula>"Muy Alta"</formula>
    </cfRule>
    <cfRule type="cellIs" dxfId="1383" priority="1589" operator="equal">
      <formula>"Alta"</formula>
    </cfRule>
    <cfRule type="cellIs" dxfId="1382" priority="1590" operator="equal">
      <formula>"Media"</formula>
    </cfRule>
    <cfRule type="cellIs" dxfId="1381" priority="1591" operator="equal">
      <formula>"Baja"</formula>
    </cfRule>
    <cfRule type="cellIs" dxfId="1380" priority="1592" operator="equal">
      <formula>"Muy Baja"</formula>
    </cfRule>
  </conditionalFormatting>
  <conditionalFormatting sqref="O58">
    <cfRule type="cellIs" dxfId="1379" priority="1583" operator="equal">
      <formula>"Catastrófico"</formula>
    </cfRule>
    <cfRule type="cellIs" dxfId="1378" priority="1584" operator="equal">
      <formula>"Mayor"</formula>
    </cfRule>
    <cfRule type="cellIs" dxfId="1377" priority="1585" operator="equal">
      <formula>"Moderado"</formula>
    </cfRule>
    <cfRule type="cellIs" dxfId="1376" priority="1586" operator="equal">
      <formula>"Menor"</formula>
    </cfRule>
    <cfRule type="cellIs" dxfId="1375" priority="1587" operator="equal">
      <formula>"Leve"</formula>
    </cfRule>
  </conditionalFormatting>
  <conditionalFormatting sqref="Q58">
    <cfRule type="cellIs" dxfId="1374" priority="1579" operator="equal">
      <formula>"Extremo"</formula>
    </cfRule>
    <cfRule type="cellIs" dxfId="1373" priority="1580" operator="equal">
      <formula>"Alto"</formula>
    </cfRule>
    <cfRule type="cellIs" dxfId="1372" priority="1581" operator="equal">
      <formula>"Moderado"</formula>
    </cfRule>
    <cfRule type="cellIs" dxfId="1371" priority="1582" operator="equal">
      <formula>"Bajo"</formula>
    </cfRule>
  </conditionalFormatting>
  <conditionalFormatting sqref="N58:N60">
    <cfRule type="containsText" dxfId="1370" priority="1578" operator="containsText" text="❌">
      <formula>NOT(ISERROR(SEARCH("❌",N58)))</formula>
    </cfRule>
  </conditionalFormatting>
  <conditionalFormatting sqref="K61">
    <cfRule type="cellIs" dxfId="1369" priority="1573" operator="equal">
      <formula>"Muy Alta"</formula>
    </cfRule>
    <cfRule type="cellIs" dxfId="1368" priority="1574" operator="equal">
      <formula>"Alta"</formula>
    </cfRule>
    <cfRule type="cellIs" dxfId="1367" priority="1575" operator="equal">
      <formula>"Media"</formula>
    </cfRule>
    <cfRule type="cellIs" dxfId="1366" priority="1576" operator="equal">
      <formula>"Baja"</formula>
    </cfRule>
    <cfRule type="cellIs" dxfId="1365" priority="1577" operator="equal">
      <formula>"Muy Baja"</formula>
    </cfRule>
  </conditionalFormatting>
  <conditionalFormatting sqref="O61">
    <cfRule type="cellIs" dxfId="1364" priority="1568" operator="equal">
      <formula>"Catastrófico"</formula>
    </cfRule>
    <cfRule type="cellIs" dxfId="1363" priority="1569" operator="equal">
      <formula>"Mayor"</formula>
    </cfRule>
    <cfRule type="cellIs" dxfId="1362" priority="1570" operator="equal">
      <formula>"Moderado"</formula>
    </cfRule>
    <cfRule type="cellIs" dxfId="1361" priority="1571" operator="equal">
      <formula>"Menor"</formula>
    </cfRule>
    <cfRule type="cellIs" dxfId="1360" priority="1572" operator="equal">
      <formula>"Leve"</formula>
    </cfRule>
  </conditionalFormatting>
  <conditionalFormatting sqref="Q61">
    <cfRule type="cellIs" dxfId="1359" priority="1564" operator="equal">
      <formula>"Extremo"</formula>
    </cfRule>
    <cfRule type="cellIs" dxfId="1358" priority="1565" operator="equal">
      <formula>"Alto"</formula>
    </cfRule>
    <cfRule type="cellIs" dxfId="1357" priority="1566" operator="equal">
      <formula>"Moderado"</formula>
    </cfRule>
    <cfRule type="cellIs" dxfId="1356" priority="1567" operator="equal">
      <formula>"Bajo"</formula>
    </cfRule>
  </conditionalFormatting>
  <conditionalFormatting sqref="N61:N63">
    <cfRule type="containsText" dxfId="1355" priority="1563" operator="containsText" text="❌">
      <formula>NOT(ISERROR(SEARCH("❌",N61)))</formula>
    </cfRule>
  </conditionalFormatting>
  <conditionalFormatting sqref="K64">
    <cfRule type="cellIs" dxfId="1354" priority="1558" operator="equal">
      <formula>"Muy Alta"</formula>
    </cfRule>
    <cfRule type="cellIs" dxfId="1353" priority="1559" operator="equal">
      <formula>"Alta"</formula>
    </cfRule>
    <cfRule type="cellIs" dxfId="1352" priority="1560" operator="equal">
      <formula>"Media"</formula>
    </cfRule>
    <cfRule type="cellIs" dxfId="1351" priority="1561" operator="equal">
      <formula>"Baja"</formula>
    </cfRule>
    <cfRule type="cellIs" dxfId="1350" priority="1562" operator="equal">
      <formula>"Muy Baja"</formula>
    </cfRule>
  </conditionalFormatting>
  <conditionalFormatting sqref="O64">
    <cfRule type="cellIs" dxfId="1349" priority="1553" operator="equal">
      <formula>"Catastrófico"</formula>
    </cfRule>
    <cfRule type="cellIs" dxfId="1348" priority="1554" operator="equal">
      <formula>"Mayor"</formula>
    </cfRule>
    <cfRule type="cellIs" dxfId="1347" priority="1555" operator="equal">
      <formula>"Moderado"</formula>
    </cfRule>
    <cfRule type="cellIs" dxfId="1346" priority="1556" operator="equal">
      <formula>"Menor"</formula>
    </cfRule>
    <cfRule type="cellIs" dxfId="1345" priority="1557" operator="equal">
      <formula>"Leve"</formula>
    </cfRule>
  </conditionalFormatting>
  <conditionalFormatting sqref="Q64">
    <cfRule type="cellIs" dxfId="1344" priority="1549" operator="equal">
      <formula>"Extremo"</formula>
    </cfRule>
    <cfRule type="cellIs" dxfId="1343" priority="1550" operator="equal">
      <formula>"Alto"</formula>
    </cfRule>
    <cfRule type="cellIs" dxfId="1342" priority="1551" operator="equal">
      <formula>"Moderado"</formula>
    </cfRule>
    <cfRule type="cellIs" dxfId="1341" priority="1552" operator="equal">
      <formula>"Bajo"</formula>
    </cfRule>
  </conditionalFormatting>
  <conditionalFormatting sqref="N64:N66">
    <cfRule type="containsText" dxfId="1340" priority="1548" operator="containsText" text="❌">
      <formula>NOT(ISERROR(SEARCH("❌",N64)))</formula>
    </cfRule>
  </conditionalFormatting>
  <conditionalFormatting sqref="K67">
    <cfRule type="cellIs" dxfId="1339" priority="1543" operator="equal">
      <formula>"Muy Alta"</formula>
    </cfRule>
    <cfRule type="cellIs" dxfId="1338" priority="1544" operator="equal">
      <formula>"Alta"</formula>
    </cfRule>
    <cfRule type="cellIs" dxfId="1337" priority="1545" operator="equal">
      <formula>"Media"</formula>
    </cfRule>
    <cfRule type="cellIs" dxfId="1336" priority="1546" operator="equal">
      <formula>"Baja"</formula>
    </cfRule>
    <cfRule type="cellIs" dxfId="1335" priority="1547" operator="equal">
      <formula>"Muy Baja"</formula>
    </cfRule>
  </conditionalFormatting>
  <conditionalFormatting sqref="O67">
    <cfRule type="cellIs" dxfId="1334" priority="1538" operator="equal">
      <formula>"Catastrófico"</formula>
    </cfRule>
    <cfRule type="cellIs" dxfId="1333" priority="1539" operator="equal">
      <formula>"Mayor"</formula>
    </cfRule>
    <cfRule type="cellIs" dxfId="1332" priority="1540" operator="equal">
      <formula>"Moderado"</formula>
    </cfRule>
    <cfRule type="cellIs" dxfId="1331" priority="1541" operator="equal">
      <formula>"Menor"</formula>
    </cfRule>
    <cfRule type="cellIs" dxfId="1330" priority="1542" operator="equal">
      <formula>"Leve"</formula>
    </cfRule>
  </conditionalFormatting>
  <conditionalFormatting sqref="Q67">
    <cfRule type="cellIs" dxfId="1329" priority="1534" operator="equal">
      <formula>"Extremo"</formula>
    </cfRule>
    <cfRule type="cellIs" dxfId="1328" priority="1535" operator="equal">
      <formula>"Alto"</formula>
    </cfRule>
    <cfRule type="cellIs" dxfId="1327" priority="1536" operator="equal">
      <formula>"Moderado"</formula>
    </cfRule>
    <cfRule type="cellIs" dxfId="1326" priority="1537" operator="equal">
      <formula>"Bajo"</formula>
    </cfRule>
  </conditionalFormatting>
  <conditionalFormatting sqref="N67:N69">
    <cfRule type="containsText" dxfId="1325" priority="1533" operator="containsText" text="❌">
      <formula>NOT(ISERROR(SEARCH("❌",N67)))</formula>
    </cfRule>
  </conditionalFormatting>
  <conditionalFormatting sqref="K73">
    <cfRule type="cellIs" dxfId="1324" priority="1528" operator="equal">
      <formula>"Muy Alta"</formula>
    </cfRule>
    <cfRule type="cellIs" dxfId="1323" priority="1529" operator="equal">
      <formula>"Alta"</formula>
    </cfRule>
    <cfRule type="cellIs" dxfId="1322" priority="1530" operator="equal">
      <formula>"Media"</formula>
    </cfRule>
    <cfRule type="cellIs" dxfId="1321" priority="1531" operator="equal">
      <formula>"Baja"</formula>
    </cfRule>
    <cfRule type="cellIs" dxfId="1320" priority="1532" operator="equal">
      <formula>"Muy Baja"</formula>
    </cfRule>
  </conditionalFormatting>
  <conditionalFormatting sqref="O73">
    <cfRule type="cellIs" dxfId="1319" priority="1523" operator="equal">
      <formula>"Catastrófico"</formula>
    </cfRule>
    <cfRule type="cellIs" dxfId="1318" priority="1524" operator="equal">
      <formula>"Mayor"</formula>
    </cfRule>
    <cfRule type="cellIs" dxfId="1317" priority="1525" operator="equal">
      <formula>"Moderado"</formula>
    </cfRule>
    <cfRule type="cellIs" dxfId="1316" priority="1526" operator="equal">
      <formula>"Menor"</formula>
    </cfRule>
    <cfRule type="cellIs" dxfId="1315" priority="1527" operator="equal">
      <formula>"Leve"</formula>
    </cfRule>
  </conditionalFormatting>
  <conditionalFormatting sqref="Q73">
    <cfRule type="cellIs" dxfId="1314" priority="1519" operator="equal">
      <formula>"Extremo"</formula>
    </cfRule>
    <cfRule type="cellIs" dxfId="1313" priority="1520" operator="equal">
      <formula>"Alto"</formula>
    </cfRule>
    <cfRule type="cellIs" dxfId="1312" priority="1521" operator="equal">
      <formula>"Moderado"</formula>
    </cfRule>
    <cfRule type="cellIs" dxfId="1311" priority="1522" operator="equal">
      <formula>"Bajo"</formula>
    </cfRule>
  </conditionalFormatting>
  <conditionalFormatting sqref="N73:N75">
    <cfRule type="containsText" dxfId="1310" priority="1518" operator="containsText" text="❌">
      <formula>NOT(ISERROR(SEARCH("❌",N73)))</formula>
    </cfRule>
  </conditionalFormatting>
  <conditionalFormatting sqref="K76">
    <cfRule type="cellIs" dxfId="1309" priority="1513" operator="equal">
      <formula>"Muy Alta"</formula>
    </cfRule>
    <cfRule type="cellIs" dxfId="1308" priority="1514" operator="equal">
      <formula>"Alta"</formula>
    </cfRule>
    <cfRule type="cellIs" dxfId="1307" priority="1515" operator="equal">
      <formula>"Media"</formula>
    </cfRule>
    <cfRule type="cellIs" dxfId="1306" priority="1516" operator="equal">
      <formula>"Baja"</formula>
    </cfRule>
    <cfRule type="cellIs" dxfId="1305" priority="1517" operator="equal">
      <formula>"Muy Baja"</formula>
    </cfRule>
  </conditionalFormatting>
  <conditionalFormatting sqref="O76">
    <cfRule type="cellIs" dxfId="1304" priority="1508" operator="equal">
      <formula>"Catastrófico"</formula>
    </cfRule>
    <cfRule type="cellIs" dxfId="1303" priority="1509" operator="equal">
      <formula>"Mayor"</formula>
    </cfRule>
    <cfRule type="cellIs" dxfId="1302" priority="1510" operator="equal">
      <formula>"Moderado"</formula>
    </cfRule>
    <cfRule type="cellIs" dxfId="1301" priority="1511" operator="equal">
      <formula>"Menor"</formula>
    </cfRule>
    <cfRule type="cellIs" dxfId="1300" priority="1512" operator="equal">
      <formula>"Leve"</formula>
    </cfRule>
  </conditionalFormatting>
  <conditionalFormatting sqref="Q76">
    <cfRule type="cellIs" dxfId="1299" priority="1504" operator="equal">
      <formula>"Extremo"</formula>
    </cfRule>
    <cfRule type="cellIs" dxfId="1298" priority="1505" operator="equal">
      <formula>"Alto"</formula>
    </cfRule>
    <cfRule type="cellIs" dxfId="1297" priority="1506" operator="equal">
      <formula>"Moderado"</formula>
    </cfRule>
    <cfRule type="cellIs" dxfId="1296" priority="1507" operator="equal">
      <formula>"Bajo"</formula>
    </cfRule>
  </conditionalFormatting>
  <conditionalFormatting sqref="N76:N78">
    <cfRule type="containsText" dxfId="1295" priority="1503" operator="containsText" text="❌">
      <formula>NOT(ISERROR(SEARCH("❌",N76)))</formula>
    </cfRule>
  </conditionalFormatting>
  <conditionalFormatting sqref="K79">
    <cfRule type="cellIs" dxfId="1294" priority="1498" operator="equal">
      <formula>"Muy Alta"</formula>
    </cfRule>
    <cfRule type="cellIs" dxfId="1293" priority="1499" operator="equal">
      <formula>"Alta"</formula>
    </cfRule>
    <cfRule type="cellIs" dxfId="1292" priority="1500" operator="equal">
      <formula>"Media"</formula>
    </cfRule>
    <cfRule type="cellIs" dxfId="1291" priority="1501" operator="equal">
      <formula>"Baja"</formula>
    </cfRule>
    <cfRule type="cellIs" dxfId="1290" priority="1502" operator="equal">
      <formula>"Muy Baja"</formula>
    </cfRule>
  </conditionalFormatting>
  <conditionalFormatting sqref="O79">
    <cfRule type="cellIs" dxfId="1289" priority="1493" operator="equal">
      <formula>"Catastrófico"</formula>
    </cfRule>
    <cfRule type="cellIs" dxfId="1288" priority="1494" operator="equal">
      <formula>"Mayor"</formula>
    </cfRule>
    <cfRule type="cellIs" dxfId="1287" priority="1495" operator="equal">
      <formula>"Moderado"</formula>
    </cfRule>
    <cfRule type="cellIs" dxfId="1286" priority="1496" operator="equal">
      <formula>"Menor"</formula>
    </cfRule>
    <cfRule type="cellIs" dxfId="1285" priority="1497" operator="equal">
      <formula>"Leve"</formula>
    </cfRule>
  </conditionalFormatting>
  <conditionalFormatting sqref="Q79">
    <cfRule type="cellIs" dxfId="1284" priority="1489" operator="equal">
      <formula>"Extremo"</formula>
    </cfRule>
    <cfRule type="cellIs" dxfId="1283" priority="1490" operator="equal">
      <formula>"Alto"</formula>
    </cfRule>
    <cfRule type="cellIs" dxfId="1282" priority="1491" operator="equal">
      <formula>"Moderado"</formula>
    </cfRule>
    <cfRule type="cellIs" dxfId="1281" priority="1492" operator="equal">
      <formula>"Bajo"</formula>
    </cfRule>
  </conditionalFormatting>
  <conditionalFormatting sqref="N79:N81">
    <cfRule type="containsText" dxfId="1280" priority="1488" operator="containsText" text="❌">
      <formula>NOT(ISERROR(SEARCH("❌",N79)))</formula>
    </cfRule>
  </conditionalFormatting>
  <conditionalFormatting sqref="O82">
    <cfRule type="cellIs" dxfId="1279" priority="1478" operator="equal">
      <formula>"Catastrófico"</formula>
    </cfRule>
    <cfRule type="cellIs" dxfId="1278" priority="1479" operator="equal">
      <formula>"Mayor"</formula>
    </cfRule>
    <cfRule type="cellIs" dxfId="1277" priority="1480" operator="equal">
      <formula>"Moderado"</formula>
    </cfRule>
    <cfRule type="cellIs" dxfId="1276" priority="1481" operator="equal">
      <formula>"Menor"</formula>
    </cfRule>
    <cfRule type="cellIs" dxfId="1275" priority="1482" operator="equal">
      <formula>"Leve"</formula>
    </cfRule>
  </conditionalFormatting>
  <conditionalFormatting sqref="Q82">
    <cfRule type="cellIs" dxfId="1274" priority="1474" operator="equal">
      <formula>"Extremo"</formula>
    </cfRule>
    <cfRule type="cellIs" dxfId="1273" priority="1475" operator="equal">
      <formula>"Alto"</formula>
    </cfRule>
    <cfRule type="cellIs" dxfId="1272" priority="1476" operator="equal">
      <formula>"Moderado"</formula>
    </cfRule>
    <cfRule type="cellIs" dxfId="1271" priority="1477" operator="equal">
      <formula>"Bajo"</formula>
    </cfRule>
  </conditionalFormatting>
  <conditionalFormatting sqref="N82:N84">
    <cfRule type="containsText" dxfId="1270" priority="1473" operator="containsText" text="❌">
      <formula>NOT(ISERROR(SEARCH("❌",N82)))</formula>
    </cfRule>
  </conditionalFormatting>
  <conditionalFormatting sqref="K88">
    <cfRule type="cellIs" dxfId="1269" priority="1468" operator="equal">
      <formula>"Muy Alta"</formula>
    </cfRule>
    <cfRule type="cellIs" dxfId="1268" priority="1469" operator="equal">
      <formula>"Alta"</formula>
    </cfRule>
    <cfRule type="cellIs" dxfId="1267" priority="1470" operator="equal">
      <formula>"Media"</formula>
    </cfRule>
    <cfRule type="cellIs" dxfId="1266" priority="1471" operator="equal">
      <formula>"Baja"</formula>
    </cfRule>
    <cfRule type="cellIs" dxfId="1265" priority="1472" operator="equal">
      <formula>"Muy Baja"</formula>
    </cfRule>
  </conditionalFormatting>
  <conditionalFormatting sqref="O88">
    <cfRule type="cellIs" dxfId="1264" priority="1463" operator="equal">
      <formula>"Catastrófico"</formula>
    </cfRule>
    <cfRule type="cellIs" dxfId="1263" priority="1464" operator="equal">
      <formula>"Mayor"</formula>
    </cfRule>
    <cfRule type="cellIs" dxfId="1262" priority="1465" operator="equal">
      <formula>"Moderado"</formula>
    </cfRule>
    <cfRule type="cellIs" dxfId="1261" priority="1466" operator="equal">
      <formula>"Menor"</formula>
    </cfRule>
    <cfRule type="cellIs" dxfId="1260" priority="1467" operator="equal">
      <formula>"Leve"</formula>
    </cfRule>
  </conditionalFormatting>
  <conditionalFormatting sqref="Q88">
    <cfRule type="cellIs" dxfId="1259" priority="1459" operator="equal">
      <formula>"Extremo"</formula>
    </cfRule>
    <cfRule type="cellIs" dxfId="1258" priority="1460" operator="equal">
      <formula>"Alto"</formula>
    </cfRule>
    <cfRule type="cellIs" dxfId="1257" priority="1461" operator="equal">
      <formula>"Moderado"</formula>
    </cfRule>
    <cfRule type="cellIs" dxfId="1256" priority="1462" operator="equal">
      <formula>"Bajo"</formula>
    </cfRule>
  </conditionalFormatting>
  <conditionalFormatting sqref="N88:N90">
    <cfRule type="containsText" dxfId="1255" priority="1458" operator="containsText" text="❌">
      <formula>NOT(ISERROR(SEARCH("❌",N88)))</formula>
    </cfRule>
  </conditionalFormatting>
  <conditionalFormatting sqref="K91">
    <cfRule type="cellIs" dxfId="1254" priority="1453" operator="equal">
      <formula>"Muy Alta"</formula>
    </cfRule>
    <cfRule type="cellIs" dxfId="1253" priority="1454" operator="equal">
      <formula>"Alta"</formula>
    </cfRule>
    <cfRule type="cellIs" dxfId="1252" priority="1455" operator="equal">
      <formula>"Media"</formula>
    </cfRule>
    <cfRule type="cellIs" dxfId="1251" priority="1456" operator="equal">
      <formula>"Baja"</formula>
    </cfRule>
    <cfRule type="cellIs" dxfId="1250" priority="1457" operator="equal">
      <formula>"Muy Baja"</formula>
    </cfRule>
  </conditionalFormatting>
  <conditionalFormatting sqref="O91">
    <cfRule type="cellIs" dxfId="1249" priority="1448" operator="equal">
      <formula>"Catastrófico"</formula>
    </cfRule>
    <cfRule type="cellIs" dxfId="1248" priority="1449" operator="equal">
      <formula>"Mayor"</formula>
    </cfRule>
    <cfRule type="cellIs" dxfId="1247" priority="1450" operator="equal">
      <formula>"Moderado"</formula>
    </cfRule>
    <cfRule type="cellIs" dxfId="1246" priority="1451" operator="equal">
      <formula>"Menor"</formula>
    </cfRule>
    <cfRule type="cellIs" dxfId="1245" priority="1452" operator="equal">
      <formula>"Leve"</formula>
    </cfRule>
  </conditionalFormatting>
  <conditionalFormatting sqref="Q91">
    <cfRule type="cellIs" dxfId="1244" priority="1444" operator="equal">
      <formula>"Extremo"</formula>
    </cfRule>
    <cfRule type="cellIs" dxfId="1243" priority="1445" operator="equal">
      <formula>"Alto"</formula>
    </cfRule>
    <cfRule type="cellIs" dxfId="1242" priority="1446" operator="equal">
      <formula>"Moderado"</formula>
    </cfRule>
    <cfRule type="cellIs" dxfId="1241" priority="1447" operator="equal">
      <formula>"Bajo"</formula>
    </cfRule>
  </conditionalFormatting>
  <conditionalFormatting sqref="N91:N93">
    <cfRule type="containsText" dxfId="1240" priority="1443" operator="containsText" text="❌">
      <formula>NOT(ISERROR(SEARCH("❌",N91)))</formula>
    </cfRule>
  </conditionalFormatting>
  <conditionalFormatting sqref="K94">
    <cfRule type="cellIs" dxfId="1239" priority="1438" operator="equal">
      <formula>"Muy Alta"</formula>
    </cfRule>
    <cfRule type="cellIs" dxfId="1238" priority="1439" operator="equal">
      <formula>"Alta"</formula>
    </cfRule>
    <cfRule type="cellIs" dxfId="1237" priority="1440" operator="equal">
      <formula>"Media"</formula>
    </cfRule>
    <cfRule type="cellIs" dxfId="1236" priority="1441" operator="equal">
      <formula>"Baja"</formula>
    </cfRule>
    <cfRule type="cellIs" dxfId="1235" priority="1442" operator="equal">
      <formula>"Muy Baja"</formula>
    </cfRule>
  </conditionalFormatting>
  <conditionalFormatting sqref="O94">
    <cfRule type="cellIs" dxfId="1234" priority="1433" operator="equal">
      <formula>"Catastrófico"</formula>
    </cfRule>
    <cfRule type="cellIs" dxfId="1233" priority="1434" operator="equal">
      <formula>"Mayor"</formula>
    </cfRule>
    <cfRule type="cellIs" dxfId="1232" priority="1435" operator="equal">
      <formula>"Moderado"</formula>
    </cfRule>
    <cfRule type="cellIs" dxfId="1231" priority="1436" operator="equal">
      <formula>"Menor"</formula>
    </cfRule>
    <cfRule type="cellIs" dxfId="1230" priority="1437" operator="equal">
      <formula>"Leve"</formula>
    </cfRule>
  </conditionalFormatting>
  <conditionalFormatting sqref="Q94">
    <cfRule type="cellIs" dxfId="1229" priority="1429" operator="equal">
      <formula>"Extremo"</formula>
    </cfRule>
    <cfRule type="cellIs" dxfId="1228" priority="1430" operator="equal">
      <formula>"Alto"</formula>
    </cfRule>
    <cfRule type="cellIs" dxfId="1227" priority="1431" operator="equal">
      <formula>"Moderado"</formula>
    </cfRule>
    <cfRule type="cellIs" dxfId="1226" priority="1432" operator="equal">
      <formula>"Bajo"</formula>
    </cfRule>
  </conditionalFormatting>
  <conditionalFormatting sqref="N94:N96">
    <cfRule type="containsText" dxfId="1225" priority="1428" operator="containsText" text="❌">
      <formula>NOT(ISERROR(SEARCH("❌",N94)))</formula>
    </cfRule>
  </conditionalFormatting>
  <conditionalFormatting sqref="O97:O98">
    <cfRule type="cellIs" dxfId="1224" priority="1418" operator="equal">
      <formula>"Catastrófico"</formula>
    </cfRule>
    <cfRule type="cellIs" dxfId="1223" priority="1419" operator="equal">
      <formula>"Mayor"</formula>
    </cfRule>
    <cfRule type="cellIs" dxfId="1222" priority="1420" operator="equal">
      <formula>"Moderado"</formula>
    </cfRule>
    <cfRule type="cellIs" dxfId="1221" priority="1421" operator="equal">
      <formula>"Menor"</formula>
    </cfRule>
    <cfRule type="cellIs" dxfId="1220" priority="1422" operator="equal">
      <formula>"Leve"</formula>
    </cfRule>
  </conditionalFormatting>
  <conditionalFormatting sqref="Q97:Q98">
    <cfRule type="cellIs" dxfId="1219" priority="1414" operator="equal">
      <formula>"Extremo"</formula>
    </cfRule>
    <cfRule type="cellIs" dxfId="1218" priority="1415" operator="equal">
      <formula>"Alto"</formula>
    </cfRule>
    <cfRule type="cellIs" dxfId="1217" priority="1416" operator="equal">
      <formula>"Moderado"</formula>
    </cfRule>
    <cfRule type="cellIs" dxfId="1216" priority="1417" operator="equal">
      <formula>"Bajo"</formula>
    </cfRule>
  </conditionalFormatting>
  <conditionalFormatting sqref="N97:N99">
    <cfRule type="containsText" dxfId="1215" priority="1413" operator="containsText" text="❌">
      <formula>NOT(ISERROR(SEARCH("❌",N97)))</formula>
    </cfRule>
  </conditionalFormatting>
  <conditionalFormatting sqref="K103">
    <cfRule type="cellIs" dxfId="1214" priority="1393" operator="equal">
      <formula>"Muy Alta"</formula>
    </cfRule>
    <cfRule type="cellIs" dxfId="1213" priority="1394" operator="equal">
      <formula>"Alta"</formula>
    </cfRule>
    <cfRule type="cellIs" dxfId="1212" priority="1395" operator="equal">
      <formula>"Media"</formula>
    </cfRule>
    <cfRule type="cellIs" dxfId="1211" priority="1396" operator="equal">
      <formula>"Baja"</formula>
    </cfRule>
    <cfRule type="cellIs" dxfId="1210" priority="1397" operator="equal">
      <formula>"Muy Baja"</formula>
    </cfRule>
  </conditionalFormatting>
  <conditionalFormatting sqref="O103">
    <cfRule type="cellIs" dxfId="1209" priority="1388" operator="equal">
      <formula>"Catastrófico"</formula>
    </cfRule>
    <cfRule type="cellIs" dxfId="1208" priority="1389" operator="equal">
      <formula>"Mayor"</formula>
    </cfRule>
    <cfRule type="cellIs" dxfId="1207" priority="1390" operator="equal">
      <formula>"Moderado"</formula>
    </cfRule>
    <cfRule type="cellIs" dxfId="1206" priority="1391" operator="equal">
      <formula>"Menor"</formula>
    </cfRule>
    <cfRule type="cellIs" dxfId="1205" priority="1392" operator="equal">
      <formula>"Leve"</formula>
    </cfRule>
  </conditionalFormatting>
  <conditionalFormatting sqref="Q103">
    <cfRule type="cellIs" dxfId="1204" priority="1384" operator="equal">
      <formula>"Extremo"</formula>
    </cfRule>
    <cfRule type="cellIs" dxfId="1203" priority="1385" operator="equal">
      <formula>"Alto"</formula>
    </cfRule>
    <cfRule type="cellIs" dxfId="1202" priority="1386" operator="equal">
      <formula>"Moderado"</formula>
    </cfRule>
    <cfRule type="cellIs" dxfId="1201" priority="1387" operator="equal">
      <formula>"Bajo"</formula>
    </cfRule>
  </conditionalFormatting>
  <conditionalFormatting sqref="N103:N105">
    <cfRule type="containsText" dxfId="1200" priority="1383" operator="containsText" text="❌">
      <formula>NOT(ISERROR(SEARCH("❌",N103)))</formula>
    </cfRule>
  </conditionalFormatting>
  <conditionalFormatting sqref="K106">
    <cfRule type="cellIs" dxfId="1199" priority="1378" operator="equal">
      <formula>"Muy Alta"</formula>
    </cfRule>
    <cfRule type="cellIs" dxfId="1198" priority="1379" operator="equal">
      <formula>"Alta"</formula>
    </cfRule>
    <cfRule type="cellIs" dxfId="1197" priority="1380" operator="equal">
      <formula>"Media"</formula>
    </cfRule>
    <cfRule type="cellIs" dxfId="1196" priority="1381" operator="equal">
      <formula>"Baja"</formula>
    </cfRule>
    <cfRule type="cellIs" dxfId="1195" priority="1382" operator="equal">
      <formula>"Muy Baja"</formula>
    </cfRule>
  </conditionalFormatting>
  <conditionalFormatting sqref="O106">
    <cfRule type="cellIs" dxfId="1194" priority="1373" operator="equal">
      <formula>"Catastrófico"</formula>
    </cfRule>
    <cfRule type="cellIs" dxfId="1193" priority="1374" operator="equal">
      <formula>"Mayor"</formula>
    </cfRule>
    <cfRule type="cellIs" dxfId="1192" priority="1375" operator="equal">
      <formula>"Moderado"</formula>
    </cfRule>
    <cfRule type="cellIs" dxfId="1191" priority="1376" operator="equal">
      <formula>"Menor"</formula>
    </cfRule>
    <cfRule type="cellIs" dxfId="1190" priority="1377" operator="equal">
      <formula>"Leve"</formula>
    </cfRule>
  </conditionalFormatting>
  <conditionalFormatting sqref="Q106">
    <cfRule type="cellIs" dxfId="1189" priority="1369" operator="equal">
      <formula>"Extremo"</formula>
    </cfRule>
    <cfRule type="cellIs" dxfId="1188" priority="1370" operator="equal">
      <formula>"Alto"</formula>
    </cfRule>
    <cfRule type="cellIs" dxfId="1187" priority="1371" operator="equal">
      <formula>"Moderado"</formula>
    </cfRule>
    <cfRule type="cellIs" dxfId="1186" priority="1372" operator="equal">
      <formula>"Bajo"</formula>
    </cfRule>
  </conditionalFormatting>
  <conditionalFormatting sqref="N106:N108">
    <cfRule type="containsText" dxfId="1185" priority="1368" operator="containsText" text="❌">
      <formula>NOT(ISERROR(SEARCH("❌",N106)))</formula>
    </cfRule>
  </conditionalFormatting>
  <conditionalFormatting sqref="K124">
    <cfRule type="cellIs" dxfId="1184" priority="1363" operator="equal">
      <formula>"Muy Alta"</formula>
    </cfRule>
    <cfRule type="cellIs" dxfId="1183" priority="1364" operator="equal">
      <formula>"Alta"</formula>
    </cfRule>
    <cfRule type="cellIs" dxfId="1182" priority="1365" operator="equal">
      <formula>"Media"</formula>
    </cfRule>
    <cfRule type="cellIs" dxfId="1181" priority="1366" operator="equal">
      <formula>"Baja"</formula>
    </cfRule>
    <cfRule type="cellIs" dxfId="1180" priority="1367" operator="equal">
      <formula>"Muy Baja"</formula>
    </cfRule>
  </conditionalFormatting>
  <conditionalFormatting sqref="O124">
    <cfRule type="cellIs" dxfId="1179" priority="1358" operator="equal">
      <formula>"Catastrófico"</formula>
    </cfRule>
    <cfRule type="cellIs" dxfId="1178" priority="1359" operator="equal">
      <formula>"Mayor"</formula>
    </cfRule>
    <cfRule type="cellIs" dxfId="1177" priority="1360" operator="equal">
      <formula>"Moderado"</formula>
    </cfRule>
    <cfRule type="cellIs" dxfId="1176" priority="1361" operator="equal">
      <formula>"Menor"</formula>
    </cfRule>
    <cfRule type="cellIs" dxfId="1175" priority="1362" operator="equal">
      <formula>"Leve"</formula>
    </cfRule>
  </conditionalFormatting>
  <conditionalFormatting sqref="Q124">
    <cfRule type="cellIs" dxfId="1174" priority="1354" operator="equal">
      <formula>"Extremo"</formula>
    </cfRule>
    <cfRule type="cellIs" dxfId="1173" priority="1355" operator="equal">
      <formula>"Alto"</formula>
    </cfRule>
    <cfRule type="cellIs" dxfId="1172" priority="1356" operator="equal">
      <formula>"Moderado"</formula>
    </cfRule>
    <cfRule type="cellIs" dxfId="1171" priority="1357" operator="equal">
      <formula>"Bajo"</formula>
    </cfRule>
  </conditionalFormatting>
  <conditionalFormatting sqref="N124:N126">
    <cfRule type="containsText" dxfId="1170" priority="1353" operator="containsText" text="❌">
      <formula>NOT(ISERROR(SEARCH("❌",N124)))</formula>
    </cfRule>
  </conditionalFormatting>
  <conditionalFormatting sqref="AB109">
    <cfRule type="cellIs" dxfId="1169" priority="1348" operator="equal">
      <formula>"Muy Alta"</formula>
    </cfRule>
    <cfRule type="cellIs" dxfId="1168" priority="1349" operator="equal">
      <formula>"Alta"</formula>
    </cfRule>
    <cfRule type="cellIs" dxfId="1167" priority="1350" operator="equal">
      <formula>"Media"</formula>
    </cfRule>
    <cfRule type="cellIs" dxfId="1166" priority="1351" operator="equal">
      <formula>"Baja"</formula>
    </cfRule>
    <cfRule type="cellIs" dxfId="1165" priority="1352" operator="equal">
      <formula>"Muy Baja"</formula>
    </cfRule>
  </conditionalFormatting>
  <conditionalFormatting sqref="AD109">
    <cfRule type="cellIs" dxfId="1164" priority="1343" operator="equal">
      <formula>"Catastrófico"</formula>
    </cfRule>
    <cfRule type="cellIs" dxfId="1163" priority="1344" operator="equal">
      <formula>"Mayor"</formula>
    </cfRule>
    <cfRule type="cellIs" dxfId="1162" priority="1345" operator="equal">
      <formula>"Moderado"</formula>
    </cfRule>
    <cfRule type="cellIs" dxfId="1161" priority="1346" operator="equal">
      <formula>"Menor"</formula>
    </cfRule>
    <cfRule type="cellIs" dxfId="1160" priority="1347" operator="equal">
      <formula>"Leve"</formula>
    </cfRule>
  </conditionalFormatting>
  <conditionalFormatting sqref="AF109">
    <cfRule type="cellIs" dxfId="1159" priority="1339" operator="equal">
      <formula>"Extremo"</formula>
    </cfRule>
    <cfRule type="cellIs" dxfId="1158" priority="1340" operator="equal">
      <formula>"Alto"</formula>
    </cfRule>
    <cfRule type="cellIs" dxfId="1157" priority="1341" operator="equal">
      <formula>"Moderado"</formula>
    </cfRule>
    <cfRule type="cellIs" dxfId="1156" priority="1342" operator="equal">
      <formula>"Bajo"</formula>
    </cfRule>
  </conditionalFormatting>
  <conditionalFormatting sqref="AB110">
    <cfRule type="cellIs" dxfId="1155" priority="1334" operator="equal">
      <formula>"Muy Alta"</formula>
    </cfRule>
    <cfRule type="cellIs" dxfId="1154" priority="1335" operator="equal">
      <formula>"Alta"</formula>
    </cfRule>
    <cfRule type="cellIs" dxfId="1153" priority="1336" operator="equal">
      <formula>"Media"</formula>
    </cfRule>
    <cfRule type="cellIs" dxfId="1152" priority="1337" operator="equal">
      <formula>"Baja"</formula>
    </cfRule>
    <cfRule type="cellIs" dxfId="1151" priority="1338" operator="equal">
      <formula>"Muy Baja"</formula>
    </cfRule>
  </conditionalFormatting>
  <conditionalFormatting sqref="AD110">
    <cfRule type="cellIs" dxfId="1150" priority="1329" operator="equal">
      <formula>"Catastrófico"</formula>
    </cfRule>
    <cfRule type="cellIs" dxfId="1149" priority="1330" operator="equal">
      <formula>"Mayor"</formula>
    </cfRule>
    <cfRule type="cellIs" dxfId="1148" priority="1331" operator="equal">
      <formula>"Moderado"</formula>
    </cfRule>
    <cfRule type="cellIs" dxfId="1147" priority="1332" operator="equal">
      <formula>"Menor"</formula>
    </cfRule>
    <cfRule type="cellIs" dxfId="1146" priority="1333" operator="equal">
      <formula>"Leve"</formula>
    </cfRule>
  </conditionalFormatting>
  <conditionalFormatting sqref="AF110">
    <cfRule type="cellIs" dxfId="1145" priority="1325" operator="equal">
      <formula>"Extremo"</formula>
    </cfRule>
    <cfRule type="cellIs" dxfId="1144" priority="1326" operator="equal">
      <formula>"Alto"</formula>
    </cfRule>
    <cfRule type="cellIs" dxfId="1143" priority="1327" operator="equal">
      <formula>"Moderado"</formula>
    </cfRule>
    <cfRule type="cellIs" dxfId="1142" priority="1328" operator="equal">
      <formula>"Bajo"</formula>
    </cfRule>
  </conditionalFormatting>
  <conditionalFormatting sqref="AB111">
    <cfRule type="cellIs" dxfId="1141" priority="1320" operator="equal">
      <formula>"Muy Alta"</formula>
    </cfRule>
    <cfRule type="cellIs" dxfId="1140" priority="1321" operator="equal">
      <formula>"Alta"</formula>
    </cfRule>
    <cfRule type="cellIs" dxfId="1139" priority="1322" operator="equal">
      <formula>"Media"</formula>
    </cfRule>
    <cfRule type="cellIs" dxfId="1138" priority="1323" operator="equal">
      <formula>"Baja"</formula>
    </cfRule>
    <cfRule type="cellIs" dxfId="1137" priority="1324" operator="equal">
      <formula>"Muy Baja"</formula>
    </cfRule>
  </conditionalFormatting>
  <conditionalFormatting sqref="AD111">
    <cfRule type="cellIs" dxfId="1136" priority="1315" operator="equal">
      <formula>"Catastrófico"</formula>
    </cfRule>
    <cfRule type="cellIs" dxfId="1135" priority="1316" operator="equal">
      <formula>"Mayor"</formula>
    </cfRule>
    <cfRule type="cellIs" dxfId="1134" priority="1317" operator="equal">
      <formula>"Moderado"</formula>
    </cfRule>
    <cfRule type="cellIs" dxfId="1133" priority="1318" operator="equal">
      <formula>"Menor"</formula>
    </cfRule>
    <cfRule type="cellIs" dxfId="1132" priority="1319" operator="equal">
      <formula>"Leve"</formula>
    </cfRule>
  </conditionalFormatting>
  <conditionalFormatting sqref="AF111">
    <cfRule type="cellIs" dxfId="1131" priority="1311" operator="equal">
      <formula>"Extremo"</formula>
    </cfRule>
    <cfRule type="cellIs" dxfId="1130" priority="1312" operator="equal">
      <formula>"Alto"</formula>
    </cfRule>
    <cfRule type="cellIs" dxfId="1129" priority="1313" operator="equal">
      <formula>"Moderado"</formula>
    </cfRule>
    <cfRule type="cellIs" dxfId="1128" priority="1314" operator="equal">
      <formula>"Bajo"</formula>
    </cfRule>
  </conditionalFormatting>
  <conditionalFormatting sqref="K109">
    <cfRule type="cellIs" dxfId="1127" priority="1306" operator="equal">
      <formula>"Muy Alta"</formula>
    </cfRule>
    <cfRule type="cellIs" dxfId="1126" priority="1307" operator="equal">
      <formula>"Alta"</formula>
    </cfRule>
    <cfRule type="cellIs" dxfId="1125" priority="1308" operator="equal">
      <formula>"Media"</formula>
    </cfRule>
    <cfRule type="cellIs" dxfId="1124" priority="1309" operator="equal">
      <formula>"Baja"</formula>
    </cfRule>
    <cfRule type="cellIs" dxfId="1123" priority="1310" operator="equal">
      <formula>"Muy Baja"</formula>
    </cfRule>
  </conditionalFormatting>
  <conditionalFormatting sqref="O109">
    <cfRule type="cellIs" dxfId="1122" priority="1301" operator="equal">
      <formula>"Catastrófico"</formula>
    </cfRule>
    <cfRule type="cellIs" dxfId="1121" priority="1302" operator="equal">
      <formula>"Mayor"</formula>
    </cfRule>
    <cfRule type="cellIs" dxfId="1120" priority="1303" operator="equal">
      <formula>"Moderado"</formula>
    </cfRule>
    <cfRule type="cellIs" dxfId="1119" priority="1304" operator="equal">
      <formula>"Menor"</formula>
    </cfRule>
    <cfRule type="cellIs" dxfId="1118" priority="1305" operator="equal">
      <formula>"Leve"</formula>
    </cfRule>
  </conditionalFormatting>
  <conditionalFormatting sqref="Q109">
    <cfRule type="cellIs" dxfId="1117" priority="1297" operator="equal">
      <formula>"Extremo"</formula>
    </cfRule>
    <cfRule type="cellIs" dxfId="1116" priority="1298" operator="equal">
      <formula>"Alto"</formula>
    </cfRule>
    <cfRule type="cellIs" dxfId="1115" priority="1299" operator="equal">
      <formula>"Moderado"</formula>
    </cfRule>
    <cfRule type="cellIs" dxfId="1114" priority="1300" operator="equal">
      <formula>"Bajo"</formula>
    </cfRule>
  </conditionalFormatting>
  <conditionalFormatting sqref="N109:N111">
    <cfRule type="containsText" dxfId="1113" priority="1296" operator="containsText" text="❌">
      <formula>NOT(ISERROR(SEARCH("❌",N109)))</formula>
    </cfRule>
  </conditionalFormatting>
  <conditionalFormatting sqref="AB112">
    <cfRule type="cellIs" dxfId="1112" priority="1291" operator="equal">
      <formula>"Muy Alta"</formula>
    </cfRule>
    <cfRule type="cellIs" dxfId="1111" priority="1292" operator="equal">
      <formula>"Alta"</formula>
    </cfRule>
    <cfRule type="cellIs" dxfId="1110" priority="1293" operator="equal">
      <formula>"Media"</formula>
    </cfRule>
    <cfRule type="cellIs" dxfId="1109" priority="1294" operator="equal">
      <formula>"Baja"</formula>
    </cfRule>
    <cfRule type="cellIs" dxfId="1108" priority="1295" operator="equal">
      <formula>"Muy Baja"</formula>
    </cfRule>
  </conditionalFormatting>
  <conditionalFormatting sqref="AD112">
    <cfRule type="cellIs" dxfId="1107" priority="1286" operator="equal">
      <formula>"Catastrófico"</formula>
    </cfRule>
    <cfRule type="cellIs" dxfId="1106" priority="1287" operator="equal">
      <formula>"Mayor"</formula>
    </cfRule>
    <cfRule type="cellIs" dxfId="1105" priority="1288" operator="equal">
      <formula>"Moderado"</formula>
    </cfRule>
    <cfRule type="cellIs" dxfId="1104" priority="1289" operator="equal">
      <formula>"Menor"</formula>
    </cfRule>
    <cfRule type="cellIs" dxfId="1103" priority="1290" operator="equal">
      <formula>"Leve"</formula>
    </cfRule>
  </conditionalFormatting>
  <conditionalFormatting sqref="AF112">
    <cfRule type="cellIs" dxfId="1102" priority="1282" operator="equal">
      <formula>"Extremo"</formula>
    </cfRule>
    <cfRule type="cellIs" dxfId="1101" priority="1283" operator="equal">
      <formula>"Alto"</formula>
    </cfRule>
    <cfRule type="cellIs" dxfId="1100" priority="1284" operator="equal">
      <formula>"Moderado"</formula>
    </cfRule>
    <cfRule type="cellIs" dxfId="1099" priority="1285" operator="equal">
      <formula>"Bajo"</formula>
    </cfRule>
  </conditionalFormatting>
  <conditionalFormatting sqref="AB113">
    <cfRule type="cellIs" dxfId="1098" priority="1277" operator="equal">
      <formula>"Muy Alta"</formula>
    </cfRule>
    <cfRule type="cellIs" dxfId="1097" priority="1278" operator="equal">
      <formula>"Alta"</formula>
    </cfRule>
    <cfRule type="cellIs" dxfId="1096" priority="1279" operator="equal">
      <formula>"Media"</formula>
    </cfRule>
    <cfRule type="cellIs" dxfId="1095" priority="1280" operator="equal">
      <formula>"Baja"</formula>
    </cfRule>
    <cfRule type="cellIs" dxfId="1094" priority="1281" operator="equal">
      <formula>"Muy Baja"</formula>
    </cfRule>
  </conditionalFormatting>
  <conditionalFormatting sqref="AD113">
    <cfRule type="cellIs" dxfId="1093" priority="1272" operator="equal">
      <formula>"Catastrófico"</formula>
    </cfRule>
    <cfRule type="cellIs" dxfId="1092" priority="1273" operator="equal">
      <formula>"Mayor"</formula>
    </cfRule>
    <cfRule type="cellIs" dxfId="1091" priority="1274" operator="equal">
      <formula>"Moderado"</formula>
    </cfRule>
    <cfRule type="cellIs" dxfId="1090" priority="1275" operator="equal">
      <formula>"Menor"</formula>
    </cfRule>
    <cfRule type="cellIs" dxfId="1089" priority="1276" operator="equal">
      <formula>"Leve"</formula>
    </cfRule>
  </conditionalFormatting>
  <conditionalFormatting sqref="AF113">
    <cfRule type="cellIs" dxfId="1088" priority="1268" operator="equal">
      <formula>"Extremo"</formula>
    </cfRule>
    <cfRule type="cellIs" dxfId="1087" priority="1269" operator="equal">
      <formula>"Alto"</formula>
    </cfRule>
    <cfRule type="cellIs" dxfId="1086" priority="1270" operator="equal">
      <formula>"Moderado"</formula>
    </cfRule>
    <cfRule type="cellIs" dxfId="1085" priority="1271" operator="equal">
      <formula>"Bajo"</formula>
    </cfRule>
  </conditionalFormatting>
  <conditionalFormatting sqref="AB114">
    <cfRule type="cellIs" dxfId="1084" priority="1263" operator="equal">
      <formula>"Muy Alta"</formula>
    </cfRule>
    <cfRule type="cellIs" dxfId="1083" priority="1264" operator="equal">
      <formula>"Alta"</formula>
    </cfRule>
    <cfRule type="cellIs" dxfId="1082" priority="1265" operator="equal">
      <formula>"Media"</formula>
    </cfRule>
    <cfRule type="cellIs" dxfId="1081" priority="1266" operator="equal">
      <formula>"Baja"</formula>
    </cfRule>
    <cfRule type="cellIs" dxfId="1080" priority="1267" operator="equal">
      <formula>"Muy Baja"</formula>
    </cfRule>
  </conditionalFormatting>
  <conditionalFormatting sqref="AD114">
    <cfRule type="cellIs" dxfId="1079" priority="1258" operator="equal">
      <formula>"Catastrófico"</formula>
    </cfRule>
    <cfRule type="cellIs" dxfId="1078" priority="1259" operator="equal">
      <formula>"Mayor"</formula>
    </cfRule>
    <cfRule type="cellIs" dxfId="1077" priority="1260" operator="equal">
      <formula>"Moderado"</formula>
    </cfRule>
    <cfRule type="cellIs" dxfId="1076" priority="1261" operator="equal">
      <formula>"Menor"</formula>
    </cfRule>
    <cfRule type="cellIs" dxfId="1075" priority="1262" operator="equal">
      <formula>"Leve"</formula>
    </cfRule>
  </conditionalFormatting>
  <conditionalFormatting sqref="AF114">
    <cfRule type="cellIs" dxfId="1074" priority="1254" operator="equal">
      <formula>"Extremo"</formula>
    </cfRule>
    <cfRule type="cellIs" dxfId="1073" priority="1255" operator="equal">
      <formula>"Alto"</formula>
    </cfRule>
    <cfRule type="cellIs" dxfId="1072" priority="1256" operator="equal">
      <formula>"Moderado"</formula>
    </cfRule>
    <cfRule type="cellIs" dxfId="1071" priority="1257" operator="equal">
      <formula>"Bajo"</formula>
    </cfRule>
  </conditionalFormatting>
  <conditionalFormatting sqref="K112">
    <cfRule type="cellIs" dxfId="1070" priority="1249" operator="equal">
      <formula>"Muy Alta"</formula>
    </cfRule>
    <cfRule type="cellIs" dxfId="1069" priority="1250" operator="equal">
      <formula>"Alta"</formula>
    </cfRule>
    <cfRule type="cellIs" dxfId="1068" priority="1251" operator="equal">
      <formula>"Media"</formula>
    </cfRule>
    <cfRule type="cellIs" dxfId="1067" priority="1252" operator="equal">
      <formula>"Baja"</formula>
    </cfRule>
    <cfRule type="cellIs" dxfId="1066" priority="1253" operator="equal">
      <formula>"Muy Baja"</formula>
    </cfRule>
  </conditionalFormatting>
  <conditionalFormatting sqref="O112">
    <cfRule type="cellIs" dxfId="1065" priority="1244" operator="equal">
      <formula>"Catastrófico"</formula>
    </cfRule>
    <cfRule type="cellIs" dxfId="1064" priority="1245" operator="equal">
      <formula>"Mayor"</formula>
    </cfRule>
    <cfRule type="cellIs" dxfId="1063" priority="1246" operator="equal">
      <formula>"Moderado"</formula>
    </cfRule>
    <cfRule type="cellIs" dxfId="1062" priority="1247" operator="equal">
      <formula>"Menor"</formula>
    </cfRule>
    <cfRule type="cellIs" dxfId="1061" priority="1248" operator="equal">
      <formula>"Leve"</formula>
    </cfRule>
  </conditionalFormatting>
  <conditionalFormatting sqref="Q112">
    <cfRule type="cellIs" dxfId="1060" priority="1240" operator="equal">
      <formula>"Extremo"</formula>
    </cfRule>
    <cfRule type="cellIs" dxfId="1059" priority="1241" operator="equal">
      <formula>"Alto"</formula>
    </cfRule>
    <cfRule type="cellIs" dxfId="1058" priority="1242" operator="equal">
      <formula>"Moderado"</formula>
    </cfRule>
    <cfRule type="cellIs" dxfId="1057" priority="1243" operator="equal">
      <formula>"Bajo"</formula>
    </cfRule>
  </conditionalFormatting>
  <conditionalFormatting sqref="N112:N114">
    <cfRule type="containsText" dxfId="1056" priority="1239" operator="containsText" text="❌">
      <formula>NOT(ISERROR(SEARCH("❌",N112)))</formula>
    </cfRule>
  </conditionalFormatting>
  <conditionalFormatting sqref="AB115">
    <cfRule type="cellIs" dxfId="1055" priority="1234" operator="equal">
      <formula>"Muy Alta"</formula>
    </cfRule>
    <cfRule type="cellIs" dxfId="1054" priority="1235" operator="equal">
      <formula>"Alta"</formula>
    </cfRule>
    <cfRule type="cellIs" dxfId="1053" priority="1236" operator="equal">
      <formula>"Media"</formula>
    </cfRule>
    <cfRule type="cellIs" dxfId="1052" priority="1237" operator="equal">
      <formula>"Baja"</formula>
    </cfRule>
    <cfRule type="cellIs" dxfId="1051" priority="1238" operator="equal">
      <formula>"Muy Baja"</formula>
    </cfRule>
  </conditionalFormatting>
  <conditionalFormatting sqref="AD115">
    <cfRule type="cellIs" dxfId="1050" priority="1229" operator="equal">
      <formula>"Catastrófico"</formula>
    </cfRule>
    <cfRule type="cellIs" dxfId="1049" priority="1230" operator="equal">
      <formula>"Mayor"</formula>
    </cfRule>
    <cfRule type="cellIs" dxfId="1048" priority="1231" operator="equal">
      <formula>"Moderado"</formula>
    </cfRule>
    <cfRule type="cellIs" dxfId="1047" priority="1232" operator="equal">
      <formula>"Menor"</formula>
    </cfRule>
    <cfRule type="cellIs" dxfId="1046" priority="1233" operator="equal">
      <formula>"Leve"</formula>
    </cfRule>
  </conditionalFormatting>
  <conditionalFormatting sqref="AF115">
    <cfRule type="cellIs" dxfId="1045" priority="1225" operator="equal">
      <formula>"Extremo"</formula>
    </cfRule>
    <cfRule type="cellIs" dxfId="1044" priority="1226" operator="equal">
      <formula>"Alto"</formula>
    </cfRule>
    <cfRule type="cellIs" dxfId="1043" priority="1227" operator="equal">
      <formula>"Moderado"</formula>
    </cfRule>
    <cfRule type="cellIs" dxfId="1042" priority="1228" operator="equal">
      <formula>"Bajo"</formula>
    </cfRule>
  </conditionalFormatting>
  <conditionalFormatting sqref="AB116">
    <cfRule type="cellIs" dxfId="1041" priority="1220" operator="equal">
      <formula>"Muy Alta"</formula>
    </cfRule>
    <cfRule type="cellIs" dxfId="1040" priority="1221" operator="equal">
      <formula>"Alta"</formula>
    </cfRule>
    <cfRule type="cellIs" dxfId="1039" priority="1222" operator="equal">
      <formula>"Media"</formula>
    </cfRule>
    <cfRule type="cellIs" dxfId="1038" priority="1223" operator="equal">
      <formula>"Baja"</formula>
    </cfRule>
    <cfRule type="cellIs" dxfId="1037" priority="1224" operator="equal">
      <formula>"Muy Baja"</formula>
    </cfRule>
  </conditionalFormatting>
  <conditionalFormatting sqref="AD116">
    <cfRule type="cellIs" dxfId="1036" priority="1215" operator="equal">
      <formula>"Catastrófico"</formula>
    </cfRule>
    <cfRule type="cellIs" dxfId="1035" priority="1216" operator="equal">
      <formula>"Mayor"</formula>
    </cfRule>
    <cfRule type="cellIs" dxfId="1034" priority="1217" operator="equal">
      <formula>"Moderado"</formula>
    </cfRule>
    <cfRule type="cellIs" dxfId="1033" priority="1218" operator="equal">
      <formula>"Menor"</formula>
    </cfRule>
    <cfRule type="cellIs" dxfId="1032" priority="1219" operator="equal">
      <formula>"Leve"</formula>
    </cfRule>
  </conditionalFormatting>
  <conditionalFormatting sqref="AF116">
    <cfRule type="cellIs" dxfId="1031" priority="1211" operator="equal">
      <formula>"Extremo"</formula>
    </cfRule>
    <cfRule type="cellIs" dxfId="1030" priority="1212" operator="equal">
      <formula>"Alto"</formula>
    </cfRule>
    <cfRule type="cellIs" dxfId="1029" priority="1213" operator="equal">
      <formula>"Moderado"</formula>
    </cfRule>
    <cfRule type="cellIs" dxfId="1028" priority="1214" operator="equal">
      <formula>"Bajo"</formula>
    </cfRule>
  </conditionalFormatting>
  <conditionalFormatting sqref="AB117">
    <cfRule type="cellIs" dxfId="1027" priority="1206" operator="equal">
      <formula>"Muy Alta"</formula>
    </cfRule>
    <cfRule type="cellIs" dxfId="1026" priority="1207" operator="equal">
      <formula>"Alta"</formula>
    </cfRule>
    <cfRule type="cellIs" dxfId="1025" priority="1208" operator="equal">
      <formula>"Media"</formula>
    </cfRule>
    <cfRule type="cellIs" dxfId="1024" priority="1209" operator="equal">
      <formula>"Baja"</formula>
    </cfRule>
    <cfRule type="cellIs" dxfId="1023" priority="1210" operator="equal">
      <formula>"Muy Baja"</formula>
    </cfRule>
  </conditionalFormatting>
  <conditionalFormatting sqref="AD117">
    <cfRule type="cellIs" dxfId="1022" priority="1201" operator="equal">
      <formula>"Catastrófico"</formula>
    </cfRule>
    <cfRule type="cellIs" dxfId="1021" priority="1202" operator="equal">
      <formula>"Mayor"</formula>
    </cfRule>
    <cfRule type="cellIs" dxfId="1020" priority="1203" operator="equal">
      <formula>"Moderado"</formula>
    </cfRule>
    <cfRule type="cellIs" dxfId="1019" priority="1204" operator="equal">
      <formula>"Menor"</formula>
    </cfRule>
    <cfRule type="cellIs" dxfId="1018" priority="1205" operator="equal">
      <formula>"Leve"</formula>
    </cfRule>
  </conditionalFormatting>
  <conditionalFormatting sqref="AF117">
    <cfRule type="cellIs" dxfId="1017" priority="1197" operator="equal">
      <formula>"Extremo"</formula>
    </cfRule>
    <cfRule type="cellIs" dxfId="1016" priority="1198" operator="equal">
      <formula>"Alto"</formula>
    </cfRule>
    <cfRule type="cellIs" dxfId="1015" priority="1199" operator="equal">
      <formula>"Moderado"</formula>
    </cfRule>
    <cfRule type="cellIs" dxfId="1014" priority="1200" operator="equal">
      <formula>"Bajo"</formula>
    </cfRule>
  </conditionalFormatting>
  <conditionalFormatting sqref="K115">
    <cfRule type="cellIs" dxfId="1013" priority="1192" operator="equal">
      <formula>"Muy Alta"</formula>
    </cfRule>
    <cfRule type="cellIs" dxfId="1012" priority="1193" operator="equal">
      <formula>"Alta"</formula>
    </cfRule>
    <cfRule type="cellIs" dxfId="1011" priority="1194" operator="equal">
      <formula>"Media"</formula>
    </cfRule>
    <cfRule type="cellIs" dxfId="1010" priority="1195" operator="equal">
      <formula>"Baja"</formula>
    </cfRule>
    <cfRule type="cellIs" dxfId="1009" priority="1196" operator="equal">
      <formula>"Muy Baja"</formula>
    </cfRule>
  </conditionalFormatting>
  <conditionalFormatting sqref="O115">
    <cfRule type="cellIs" dxfId="1008" priority="1187" operator="equal">
      <formula>"Catastrófico"</formula>
    </cfRule>
    <cfRule type="cellIs" dxfId="1007" priority="1188" operator="equal">
      <formula>"Mayor"</formula>
    </cfRule>
    <cfRule type="cellIs" dxfId="1006" priority="1189" operator="equal">
      <formula>"Moderado"</formula>
    </cfRule>
    <cfRule type="cellIs" dxfId="1005" priority="1190" operator="equal">
      <formula>"Menor"</formula>
    </cfRule>
    <cfRule type="cellIs" dxfId="1004" priority="1191" operator="equal">
      <formula>"Leve"</formula>
    </cfRule>
  </conditionalFormatting>
  <conditionalFormatting sqref="Q115">
    <cfRule type="cellIs" dxfId="1003" priority="1183" operator="equal">
      <formula>"Extremo"</formula>
    </cfRule>
    <cfRule type="cellIs" dxfId="1002" priority="1184" operator="equal">
      <formula>"Alto"</formula>
    </cfRule>
    <cfRule type="cellIs" dxfId="1001" priority="1185" operator="equal">
      <formula>"Moderado"</formula>
    </cfRule>
    <cfRule type="cellIs" dxfId="1000" priority="1186" operator="equal">
      <formula>"Bajo"</formula>
    </cfRule>
  </conditionalFormatting>
  <conditionalFormatting sqref="N115:N117">
    <cfRule type="containsText" dxfId="999" priority="1182" operator="containsText" text="❌">
      <formula>NOT(ISERROR(SEARCH("❌",N115)))</formula>
    </cfRule>
  </conditionalFormatting>
  <conditionalFormatting sqref="AB118">
    <cfRule type="cellIs" dxfId="998" priority="1177" operator="equal">
      <formula>"Muy Alta"</formula>
    </cfRule>
    <cfRule type="cellIs" dxfId="997" priority="1178" operator="equal">
      <formula>"Alta"</formula>
    </cfRule>
    <cfRule type="cellIs" dxfId="996" priority="1179" operator="equal">
      <formula>"Media"</formula>
    </cfRule>
    <cfRule type="cellIs" dxfId="995" priority="1180" operator="equal">
      <formula>"Baja"</formula>
    </cfRule>
    <cfRule type="cellIs" dxfId="994" priority="1181" operator="equal">
      <formula>"Muy Baja"</formula>
    </cfRule>
  </conditionalFormatting>
  <conditionalFormatting sqref="AD118">
    <cfRule type="cellIs" dxfId="993" priority="1172" operator="equal">
      <formula>"Catastrófico"</formula>
    </cfRule>
    <cfRule type="cellIs" dxfId="992" priority="1173" operator="equal">
      <formula>"Mayor"</formula>
    </cfRule>
    <cfRule type="cellIs" dxfId="991" priority="1174" operator="equal">
      <formula>"Moderado"</formula>
    </cfRule>
    <cfRule type="cellIs" dxfId="990" priority="1175" operator="equal">
      <formula>"Menor"</formula>
    </cfRule>
    <cfRule type="cellIs" dxfId="989" priority="1176" operator="equal">
      <formula>"Leve"</formula>
    </cfRule>
  </conditionalFormatting>
  <conditionalFormatting sqref="AF118">
    <cfRule type="cellIs" dxfId="988" priority="1168" operator="equal">
      <formula>"Extremo"</formula>
    </cfRule>
    <cfRule type="cellIs" dxfId="987" priority="1169" operator="equal">
      <formula>"Alto"</formula>
    </cfRule>
    <cfRule type="cellIs" dxfId="986" priority="1170" operator="equal">
      <formula>"Moderado"</formula>
    </cfRule>
    <cfRule type="cellIs" dxfId="985" priority="1171" operator="equal">
      <formula>"Bajo"</formula>
    </cfRule>
  </conditionalFormatting>
  <conditionalFormatting sqref="AB119">
    <cfRule type="cellIs" dxfId="984" priority="1163" operator="equal">
      <formula>"Muy Alta"</formula>
    </cfRule>
    <cfRule type="cellIs" dxfId="983" priority="1164" operator="equal">
      <formula>"Alta"</formula>
    </cfRule>
    <cfRule type="cellIs" dxfId="982" priority="1165" operator="equal">
      <formula>"Media"</formula>
    </cfRule>
    <cfRule type="cellIs" dxfId="981" priority="1166" operator="equal">
      <formula>"Baja"</formula>
    </cfRule>
    <cfRule type="cellIs" dxfId="980" priority="1167" operator="equal">
      <formula>"Muy Baja"</formula>
    </cfRule>
  </conditionalFormatting>
  <conditionalFormatting sqref="AD119">
    <cfRule type="cellIs" dxfId="979" priority="1158" operator="equal">
      <formula>"Catastrófico"</formula>
    </cfRule>
    <cfRule type="cellIs" dxfId="978" priority="1159" operator="equal">
      <formula>"Mayor"</formula>
    </cfRule>
    <cfRule type="cellIs" dxfId="977" priority="1160" operator="equal">
      <formula>"Moderado"</formula>
    </cfRule>
    <cfRule type="cellIs" dxfId="976" priority="1161" operator="equal">
      <formula>"Menor"</formula>
    </cfRule>
    <cfRule type="cellIs" dxfId="975" priority="1162" operator="equal">
      <formula>"Leve"</formula>
    </cfRule>
  </conditionalFormatting>
  <conditionalFormatting sqref="AF119">
    <cfRule type="cellIs" dxfId="974" priority="1154" operator="equal">
      <formula>"Extremo"</formula>
    </cfRule>
    <cfRule type="cellIs" dxfId="973" priority="1155" operator="equal">
      <formula>"Alto"</formula>
    </cfRule>
    <cfRule type="cellIs" dxfId="972" priority="1156" operator="equal">
      <formula>"Moderado"</formula>
    </cfRule>
    <cfRule type="cellIs" dxfId="971" priority="1157" operator="equal">
      <formula>"Bajo"</formula>
    </cfRule>
  </conditionalFormatting>
  <conditionalFormatting sqref="AB120">
    <cfRule type="cellIs" dxfId="970" priority="1149" operator="equal">
      <formula>"Muy Alta"</formula>
    </cfRule>
    <cfRule type="cellIs" dxfId="969" priority="1150" operator="equal">
      <formula>"Alta"</formula>
    </cfRule>
    <cfRule type="cellIs" dxfId="968" priority="1151" operator="equal">
      <formula>"Media"</formula>
    </cfRule>
    <cfRule type="cellIs" dxfId="967" priority="1152" operator="equal">
      <formula>"Baja"</formula>
    </cfRule>
    <cfRule type="cellIs" dxfId="966" priority="1153" operator="equal">
      <formula>"Muy Baja"</formula>
    </cfRule>
  </conditionalFormatting>
  <conditionalFormatting sqref="AD120">
    <cfRule type="cellIs" dxfId="965" priority="1144" operator="equal">
      <formula>"Catastrófico"</formula>
    </cfRule>
    <cfRule type="cellIs" dxfId="964" priority="1145" operator="equal">
      <formula>"Mayor"</formula>
    </cfRule>
    <cfRule type="cellIs" dxfId="963" priority="1146" operator="equal">
      <formula>"Moderado"</formula>
    </cfRule>
    <cfRule type="cellIs" dxfId="962" priority="1147" operator="equal">
      <formula>"Menor"</formula>
    </cfRule>
    <cfRule type="cellIs" dxfId="961" priority="1148" operator="equal">
      <formula>"Leve"</formula>
    </cfRule>
  </conditionalFormatting>
  <conditionalFormatting sqref="AF120">
    <cfRule type="cellIs" dxfId="960" priority="1140" operator="equal">
      <formula>"Extremo"</formula>
    </cfRule>
    <cfRule type="cellIs" dxfId="959" priority="1141" operator="equal">
      <formula>"Alto"</formula>
    </cfRule>
    <cfRule type="cellIs" dxfId="958" priority="1142" operator="equal">
      <formula>"Moderado"</formula>
    </cfRule>
    <cfRule type="cellIs" dxfId="957" priority="1143" operator="equal">
      <formula>"Bajo"</formula>
    </cfRule>
  </conditionalFormatting>
  <conditionalFormatting sqref="K118">
    <cfRule type="cellIs" dxfId="956" priority="1135" operator="equal">
      <formula>"Muy Alta"</formula>
    </cfRule>
    <cfRule type="cellIs" dxfId="955" priority="1136" operator="equal">
      <formula>"Alta"</formula>
    </cfRule>
    <cfRule type="cellIs" dxfId="954" priority="1137" operator="equal">
      <formula>"Media"</formula>
    </cfRule>
    <cfRule type="cellIs" dxfId="953" priority="1138" operator="equal">
      <formula>"Baja"</formula>
    </cfRule>
    <cfRule type="cellIs" dxfId="952" priority="1139" operator="equal">
      <formula>"Muy Baja"</formula>
    </cfRule>
  </conditionalFormatting>
  <conditionalFormatting sqref="O118">
    <cfRule type="cellIs" dxfId="951" priority="1130" operator="equal">
      <formula>"Catastrófico"</formula>
    </cfRule>
    <cfRule type="cellIs" dxfId="950" priority="1131" operator="equal">
      <formula>"Mayor"</formula>
    </cfRule>
    <cfRule type="cellIs" dxfId="949" priority="1132" operator="equal">
      <formula>"Moderado"</formula>
    </cfRule>
    <cfRule type="cellIs" dxfId="948" priority="1133" operator="equal">
      <formula>"Menor"</formula>
    </cfRule>
    <cfRule type="cellIs" dxfId="947" priority="1134" operator="equal">
      <formula>"Leve"</formula>
    </cfRule>
  </conditionalFormatting>
  <conditionalFormatting sqref="Q118">
    <cfRule type="cellIs" dxfId="946" priority="1126" operator="equal">
      <formula>"Extremo"</formula>
    </cfRule>
    <cfRule type="cellIs" dxfId="945" priority="1127" operator="equal">
      <formula>"Alto"</formula>
    </cfRule>
    <cfRule type="cellIs" dxfId="944" priority="1128" operator="equal">
      <formula>"Moderado"</formula>
    </cfRule>
    <cfRule type="cellIs" dxfId="943" priority="1129" operator="equal">
      <formula>"Bajo"</formula>
    </cfRule>
  </conditionalFormatting>
  <conditionalFormatting sqref="N118:N120">
    <cfRule type="containsText" dxfId="942" priority="1125" operator="containsText" text="❌">
      <formula>NOT(ISERROR(SEARCH("❌",N118)))</formula>
    </cfRule>
  </conditionalFormatting>
  <conditionalFormatting sqref="AB121">
    <cfRule type="cellIs" dxfId="941" priority="1120" operator="equal">
      <formula>"Muy Alta"</formula>
    </cfRule>
    <cfRule type="cellIs" dxfId="940" priority="1121" operator="equal">
      <formula>"Alta"</formula>
    </cfRule>
    <cfRule type="cellIs" dxfId="939" priority="1122" operator="equal">
      <formula>"Media"</formula>
    </cfRule>
    <cfRule type="cellIs" dxfId="938" priority="1123" operator="equal">
      <formula>"Baja"</formula>
    </cfRule>
    <cfRule type="cellIs" dxfId="937" priority="1124" operator="equal">
      <formula>"Muy Baja"</formula>
    </cfRule>
  </conditionalFormatting>
  <conditionalFormatting sqref="AD121">
    <cfRule type="cellIs" dxfId="936" priority="1115" operator="equal">
      <formula>"Catastrófico"</formula>
    </cfRule>
    <cfRule type="cellIs" dxfId="935" priority="1116" operator="equal">
      <formula>"Mayor"</formula>
    </cfRule>
    <cfRule type="cellIs" dxfId="934" priority="1117" operator="equal">
      <formula>"Moderado"</formula>
    </cfRule>
    <cfRule type="cellIs" dxfId="933" priority="1118" operator="equal">
      <formula>"Menor"</formula>
    </cfRule>
    <cfRule type="cellIs" dxfId="932" priority="1119" operator="equal">
      <formula>"Leve"</formula>
    </cfRule>
  </conditionalFormatting>
  <conditionalFormatting sqref="AF121">
    <cfRule type="cellIs" dxfId="931" priority="1111" operator="equal">
      <formula>"Extremo"</formula>
    </cfRule>
    <cfRule type="cellIs" dxfId="930" priority="1112" operator="equal">
      <formula>"Alto"</formula>
    </cfRule>
    <cfRule type="cellIs" dxfId="929" priority="1113" operator="equal">
      <formula>"Moderado"</formula>
    </cfRule>
    <cfRule type="cellIs" dxfId="928" priority="1114" operator="equal">
      <formula>"Bajo"</formula>
    </cfRule>
  </conditionalFormatting>
  <conditionalFormatting sqref="AB122">
    <cfRule type="cellIs" dxfId="927" priority="1106" operator="equal">
      <formula>"Muy Alta"</formula>
    </cfRule>
    <cfRule type="cellIs" dxfId="926" priority="1107" operator="equal">
      <formula>"Alta"</formula>
    </cfRule>
    <cfRule type="cellIs" dxfId="925" priority="1108" operator="equal">
      <formula>"Media"</formula>
    </cfRule>
    <cfRule type="cellIs" dxfId="924" priority="1109" operator="equal">
      <formula>"Baja"</formula>
    </cfRule>
    <cfRule type="cellIs" dxfId="923" priority="1110" operator="equal">
      <formula>"Muy Baja"</formula>
    </cfRule>
  </conditionalFormatting>
  <conditionalFormatting sqref="AD122">
    <cfRule type="cellIs" dxfId="922" priority="1101" operator="equal">
      <formula>"Catastrófico"</formula>
    </cfRule>
    <cfRule type="cellIs" dxfId="921" priority="1102" operator="equal">
      <formula>"Mayor"</formula>
    </cfRule>
    <cfRule type="cellIs" dxfId="920" priority="1103" operator="equal">
      <formula>"Moderado"</formula>
    </cfRule>
    <cfRule type="cellIs" dxfId="919" priority="1104" operator="equal">
      <formula>"Menor"</formula>
    </cfRule>
    <cfRule type="cellIs" dxfId="918" priority="1105" operator="equal">
      <formula>"Leve"</formula>
    </cfRule>
  </conditionalFormatting>
  <conditionalFormatting sqref="AF122">
    <cfRule type="cellIs" dxfId="917" priority="1097" operator="equal">
      <formula>"Extremo"</formula>
    </cfRule>
    <cfRule type="cellIs" dxfId="916" priority="1098" operator="equal">
      <formula>"Alto"</formula>
    </cfRule>
    <cfRule type="cellIs" dxfId="915" priority="1099" operator="equal">
      <formula>"Moderado"</formula>
    </cfRule>
    <cfRule type="cellIs" dxfId="914" priority="1100" operator="equal">
      <formula>"Bajo"</formula>
    </cfRule>
  </conditionalFormatting>
  <conditionalFormatting sqref="AB123:AB126">
    <cfRule type="cellIs" dxfId="913" priority="1092" operator="equal">
      <formula>"Muy Alta"</formula>
    </cfRule>
    <cfRule type="cellIs" dxfId="912" priority="1093" operator="equal">
      <formula>"Alta"</formula>
    </cfRule>
    <cfRule type="cellIs" dxfId="911" priority="1094" operator="equal">
      <formula>"Media"</formula>
    </cfRule>
    <cfRule type="cellIs" dxfId="910" priority="1095" operator="equal">
      <formula>"Baja"</formula>
    </cfRule>
    <cfRule type="cellIs" dxfId="909" priority="1096" operator="equal">
      <formula>"Muy Baja"</formula>
    </cfRule>
  </conditionalFormatting>
  <conditionalFormatting sqref="AD123:AD126">
    <cfRule type="cellIs" dxfId="908" priority="1087" operator="equal">
      <formula>"Catastrófico"</formula>
    </cfRule>
    <cfRule type="cellIs" dxfId="907" priority="1088" operator="equal">
      <formula>"Mayor"</formula>
    </cfRule>
    <cfRule type="cellIs" dxfId="906" priority="1089" operator="equal">
      <formula>"Moderado"</formula>
    </cfRule>
    <cfRule type="cellIs" dxfId="905" priority="1090" operator="equal">
      <formula>"Menor"</formula>
    </cfRule>
    <cfRule type="cellIs" dxfId="904" priority="1091" operator="equal">
      <formula>"Leve"</formula>
    </cfRule>
  </conditionalFormatting>
  <conditionalFormatting sqref="AF123:AF126">
    <cfRule type="cellIs" dxfId="903" priority="1083" operator="equal">
      <formula>"Extremo"</formula>
    </cfRule>
    <cfRule type="cellIs" dxfId="902" priority="1084" operator="equal">
      <formula>"Alto"</formula>
    </cfRule>
    <cfRule type="cellIs" dxfId="901" priority="1085" operator="equal">
      <formula>"Moderado"</formula>
    </cfRule>
    <cfRule type="cellIs" dxfId="900" priority="1086" operator="equal">
      <formula>"Bajo"</formula>
    </cfRule>
  </conditionalFormatting>
  <conditionalFormatting sqref="K121">
    <cfRule type="cellIs" dxfId="899" priority="1078" operator="equal">
      <formula>"Muy Alta"</formula>
    </cfRule>
    <cfRule type="cellIs" dxfId="898" priority="1079" operator="equal">
      <formula>"Alta"</formula>
    </cfRule>
    <cfRule type="cellIs" dxfId="897" priority="1080" operator="equal">
      <formula>"Media"</formula>
    </cfRule>
    <cfRule type="cellIs" dxfId="896" priority="1081" operator="equal">
      <formula>"Baja"</formula>
    </cfRule>
    <cfRule type="cellIs" dxfId="895" priority="1082" operator="equal">
      <formula>"Muy Baja"</formula>
    </cfRule>
  </conditionalFormatting>
  <conditionalFormatting sqref="O121">
    <cfRule type="cellIs" dxfId="894" priority="1073" operator="equal">
      <formula>"Catastrófico"</formula>
    </cfRule>
    <cfRule type="cellIs" dxfId="893" priority="1074" operator="equal">
      <formula>"Mayor"</formula>
    </cfRule>
    <cfRule type="cellIs" dxfId="892" priority="1075" operator="equal">
      <formula>"Moderado"</formula>
    </cfRule>
    <cfRule type="cellIs" dxfId="891" priority="1076" operator="equal">
      <formula>"Menor"</formula>
    </cfRule>
    <cfRule type="cellIs" dxfId="890" priority="1077" operator="equal">
      <formula>"Leve"</formula>
    </cfRule>
  </conditionalFormatting>
  <conditionalFormatting sqref="Q121">
    <cfRule type="cellIs" dxfId="889" priority="1069" operator="equal">
      <formula>"Extremo"</formula>
    </cfRule>
    <cfRule type="cellIs" dxfId="888" priority="1070" operator="equal">
      <formula>"Alto"</formula>
    </cfRule>
    <cfRule type="cellIs" dxfId="887" priority="1071" operator="equal">
      <formula>"Moderado"</formula>
    </cfRule>
    <cfRule type="cellIs" dxfId="886" priority="1072" operator="equal">
      <formula>"Bajo"</formula>
    </cfRule>
  </conditionalFormatting>
  <conditionalFormatting sqref="N121:N126">
    <cfRule type="containsText" dxfId="885" priority="1068" operator="containsText" text="❌">
      <formula>NOT(ISERROR(SEARCH("❌",N121)))</formula>
    </cfRule>
  </conditionalFormatting>
  <conditionalFormatting sqref="AB127">
    <cfRule type="cellIs" dxfId="884" priority="1063" operator="equal">
      <formula>"Muy Alta"</formula>
    </cfRule>
    <cfRule type="cellIs" dxfId="883" priority="1064" operator="equal">
      <formula>"Alta"</formula>
    </cfRule>
    <cfRule type="cellIs" dxfId="882" priority="1065" operator="equal">
      <formula>"Media"</formula>
    </cfRule>
    <cfRule type="cellIs" dxfId="881" priority="1066" operator="equal">
      <formula>"Baja"</formula>
    </cfRule>
    <cfRule type="cellIs" dxfId="880" priority="1067" operator="equal">
      <formula>"Muy Baja"</formula>
    </cfRule>
  </conditionalFormatting>
  <conditionalFormatting sqref="AD127">
    <cfRule type="cellIs" dxfId="879" priority="1058" operator="equal">
      <formula>"Catastrófico"</formula>
    </cfRule>
    <cfRule type="cellIs" dxfId="878" priority="1059" operator="equal">
      <formula>"Mayor"</formula>
    </cfRule>
    <cfRule type="cellIs" dxfId="877" priority="1060" operator="equal">
      <formula>"Moderado"</formula>
    </cfRule>
    <cfRule type="cellIs" dxfId="876" priority="1061" operator="equal">
      <formula>"Menor"</formula>
    </cfRule>
    <cfRule type="cellIs" dxfId="875" priority="1062" operator="equal">
      <formula>"Leve"</formula>
    </cfRule>
  </conditionalFormatting>
  <conditionalFormatting sqref="AF127">
    <cfRule type="cellIs" dxfId="874" priority="1054" operator="equal">
      <formula>"Extremo"</formula>
    </cfRule>
    <cfRule type="cellIs" dxfId="873" priority="1055" operator="equal">
      <formula>"Alto"</formula>
    </cfRule>
    <cfRule type="cellIs" dxfId="872" priority="1056" operator="equal">
      <formula>"Moderado"</formula>
    </cfRule>
    <cfRule type="cellIs" dxfId="871" priority="1057" operator="equal">
      <formula>"Bajo"</formula>
    </cfRule>
  </conditionalFormatting>
  <conditionalFormatting sqref="AB128">
    <cfRule type="cellIs" dxfId="870" priority="1049" operator="equal">
      <formula>"Muy Alta"</formula>
    </cfRule>
    <cfRule type="cellIs" dxfId="869" priority="1050" operator="equal">
      <formula>"Alta"</formula>
    </cfRule>
    <cfRule type="cellIs" dxfId="868" priority="1051" operator="equal">
      <formula>"Media"</formula>
    </cfRule>
    <cfRule type="cellIs" dxfId="867" priority="1052" operator="equal">
      <formula>"Baja"</formula>
    </cfRule>
    <cfRule type="cellIs" dxfId="866" priority="1053" operator="equal">
      <formula>"Muy Baja"</formula>
    </cfRule>
  </conditionalFormatting>
  <conditionalFormatting sqref="AD128">
    <cfRule type="cellIs" dxfId="865" priority="1044" operator="equal">
      <formula>"Catastrófico"</formula>
    </cfRule>
    <cfRule type="cellIs" dxfId="864" priority="1045" operator="equal">
      <formula>"Mayor"</formula>
    </cfRule>
    <cfRule type="cellIs" dxfId="863" priority="1046" operator="equal">
      <formula>"Moderado"</formula>
    </cfRule>
    <cfRule type="cellIs" dxfId="862" priority="1047" operator="equal">
      <formula>"Menor"</formula>
    </cfRule>
    <cfRule type="cellIs" dxfId="861" priority="1048" operator="equal">
      <formula>"Leve"</formula>
    </cfRule>
  </conditionalFormatting>
  <conditionalFormatting sqref="AF128">
    <cfRule type="cellIs" dxfId="860" priority="1040" operator="equal">
      <formula>"Extremo"</formula>
    </cfRule>
    <cfRule type="cellIs" dxfId="859" priority="1041" operator="equal">
      <formula>"Alto"</formula>
    </cfRule>
    <cfRule type="cellIs" dxfId="858" priority="1042" operator="equal">
      <formula>"Moderado"</formula>
    </cfRule>
    <cfRule type="cellIs" dxfId="857" priority="1043" operator="equal">
      <formula>"Bajo"</formula>
    </cfRule>
  </conditionalFormatting>
  <conditionalFormatting sqref="AB129">
    <cfRule type="cellIs" dxfId="856" priority="1035" operator="equal">
      <formula>"Muy Alta"</formula>
    </cfRule>
    <cfRule type="cellIs" dxfId="855" priority="1036" operator="equal">
      <formula>"Alta"</formula>
    </cfRule>
    <cfRule type="cellIs" dxfId="854" priority="1037" operator="equal">
      <formula>"Media"</formula>
    </cfRule>
    <cfRule type="cellIs" dxfId="853" priority="1038" operator="equal">
      <formula>"Baja"</formula>
    </cfRule>
    <cfRule type="cellIs" dxfId="852" priority="1039" operator="equal">
      <formula>"Muy Baja"</formula>
    </cfRule>
  </conditionalFormatting>
  <conditionalFormatting sqref="AD129">
    <cfRule type="cellIs" dxfId="851" priority="1030" operator="equal">
      <formula>"Catastrófico"</formula>
    </cfRule>
    <cfRule type="cellIs" dxfId="850" priority="1031" operator="equal">
      <formula>"Mayor"</formula>
    </cfRule>
    <cfRule type="cellIs" dxfId="849" priority="1032" operator="equal">
      <formula>"Moderado"</formula>
    </cfRule>
    <cfRule type="cellIs" dxfId="848" priority="1033" operator="equal">
      <formula>"Menor"</formula>
    </cfRule>
    <cfRule type="cellIs" dxfId="847" priority="1034" operator="equal">
      <formula>"Leve"</formula>
    </cfRule>
  </conditionalFormatting>
  <conditionalFormatting sqref="AF129">
    <cfRule type="cellIs" dxfId="846" priority="1026" operator="equal">
      <formula>"Extremo"</formula>
    </cfRule>
    <cfRule type="cellIs" dxfId="845" priority="1027" operator="equal">
      <formula>"Alto"</formula>
    </cfRule>
    <cfRule type="cellIs" dxfId="844" priority="1028" operator="equal">
      <formula>"Moderado"</formula>
    </cfRule>
    <cfRule type="cellIs" dxfId="843" priority="1029" operator="equal">
      <formula>"Bajo"</formula>
    </cfRule>
  </conditionalFormatting>
  <conditionalFormatting sqref="K127">
    <cfRule type="cellIs" dxfId="842" priority="1021" operator="equal">
      <formula>"Muy Alta"</formula>
    </cfRule>
    <cfRule type="cellIs" dxfId="841" priority="1022" operator="equal">
      <formula>"Alta"</formula>
    </cfRule>
    <cfRule type="cellIs" dxfId="840" priority="1023" operator="equal">
      <formula>"Media"</formula>
    </cfRule>
    <cfRule type="cellIs" dxfId="839" priority="1024" operator="equal">
      <formula>"Baja"</formula>
    </cfRule>
    <cfRule type="cellIs" dxfId="838" priority="1025" operator="equal">
      <formula>"Muy Baja"</formula>
    </cfRule>
  </conditionalFormatting>
  <conditionalFormatting sqref="O127">
    <cfRule type="cellIs" dxfId="837" priority="1016" operator="equal">
      <formula>"Catastrófico"</formula>
    </cfRule>
    <cfRule type="cellIs" dxfId="836" priority="1017" operator="equal">
      <formula>"Mayor"</formula>
    </cfRule>
    <cfRule type="cellIs" dxfId="835" priority="1018" operator="equal">
      <formula>"Moderado"</formula>
    </cfRule>
    <cfRule type="cellIs" dxfId="834" priority="1019" operator="equal">
      <formula>"Menor"</formula>
    </cfRule>
    <cfRule type="cellIs" dxfId="833" priority="1020" operator="equal">
      <formula>"Leve"</formula>
    </cfRule>
  </conditionalFormatting>
  <conditionalFormatting sqref="Q127">
    <cfRule type="cellIs" dxfId="832" priority="1012" operator="equal">
      <formula>"Extremo"</formula>
    </cfRule>
    <cfRule type="cellIs" dxfId="831" priority="1013" operator="equal">
      <formula>"Alto"</formula>
    </cfRule>
    <cfRule type="cellIs" dxfId="830" priority="1014" operator="equal">
      <formula>"Moderado"</formula>
    </cfRule>
    <cfRule type="cellIs" dxfId="829" priority="1015" operator="equal">
      <formula>"Bajo"</formula>
    </cfRule>
  </conditionalFormatting>
  <conditionalFormatting sqref="N127:N129">
    <cfRule type="containsText" dxfId="828" priority="1011" operator="containsText" text="❌">
      <formula>NOT(ISERROR(SEARCH("❌",N127)))</formula>
    </cfRule>
  </conditionalFormatting>
  <conditionalFormatting sqref="AB127:AB129">
    <cfRule type="cellIs" dxfId="827" priority="1006" operator="equal">
      <formula>"Muy Alta"</formula>
    </cfRule>
    <cfRule type="cellIs" dxfId="826" priority="1007" operator="equal">
      <formula>"Alta"</formula>
    </cfRule>
    <cfRule type="cellIs" dxfId="825" priority="1008" operator="equal">
      <formula>"Media"</formula>
    </cfRule>
    <cfRule type="cellIs" dxfId="824" priority="1009" operator="equal">
      <formula>"Baja"</formula>
    </cfRule>
    <cfRule type="cellIs" dxfId="823" priority="1010" operator="equal">
      <formula>"Muy Baja"</formula>
    </cfRule>
  </conditionalFormatting>
  <conditionalFormatting sqref="AD127:AD129">
    <cfRule type="cellIs" dxfId="822" priority="1001" operator="equal">
      <formula>"Catastrófico"</formula>
    </cfRule>
    <cfRule type="cellIs" dxfId="821" priority="1002" operator="equal">
      <formula>"Mayor"</formula>
    </cfRule>
    <cfRule type="cellIs" dxfId="820" priority="1003" operator="equal">
      <formula>"Moderado"</formula>
    </cfRule>
    <cfRule type="cellIs" dxfId="819" priority="1004" operator="equal">
      <formula>"Menor"</formula>
    </cfRule>
    <cfRule type="cellIs" dxfId="818" priority="1005" operator="equal">
      <formula>"Leve"</formula>
    </cfRule>
  </conditionalFormatting>
  <conditionalFormatting sqref="AF127:AF129">
    <cfRule type="cellIs" dxfId="817" priority="997" operator="equal">
      <formula>"Extremo"</formula>
    </cfRule>
    <cfRule type="cellIs" dxfId="816" priority="998" operator="equal">
      <formula>"Alto"</formula>
    </cfRule>
    <cfRule type="cellIs" dxfId="815" priority="999" operator="equal">
      <formula>"Moderado"</formula>
    </cfRule>
    <cfRule type="cellIs" dxfId="814" priority="1000" operator="equal">
      <formula>"Bajo"</formula>
    </cfRule>
  </conditionalFormatting>
  <conditionalFormatting sqref="N127:N129">
    <cfRule type="containsText" dxfId="813" priority="996" operator="containsText" text="❌">
      <formula>NOT(ISERROR(SEARCH("❌",N127)))</formula>
    </cfRule>
  </conditionalFormatting>
  <conditionalFormatting sqref="AB130">
    <cfRule type="cellIs" dxfId="812" priority="991" operator="equal">
      <formula>"Muy Alta"</formula>
    </cfRule>
    <cfRule type="cellIs" dxfId="811" priority="992" operator="equal">
      <formula>"Alta"</formula>
    </cfRule>
    <cfRule type="cellIs" dxfId="810" priority="993" operator="equal">
      <formula>"Media"</formula>
    </cfRule>
    <cfRule type="cellIs" dxfId="809" priority="994" operator="equal">
      <formula>"Baja"</formula>
    </cfRule>
    <cfRule type="cellIs" dxfId="808" priority="995" operator="equal">
      <formula>"Muy Baja"</formula>
    </cfRule>
  </conditionalFormatting>
  <conditionalFormatting sqref="AD130">
    <cfRule type="cellIs" dxfId="807" priority="986" operator="equal">
      <formula>"Catastrófico"</formula>
    </cfRule>
    <cfRule type="cellIs" dxfId="806" priority="987" operator="equal">
      <formula>"Mayor"</formula>
    </cfRule>
    <cfRule type="cellIs" dxfId="805" priority="988" operator="equal">
      <formula>"Moderado"</formula>
    </cfRule>
    <cfRule type="cellIs" dxfId="804" priority="989" operator="equal">
      <formula>"Menor"</formula>
    </cfRule>
    <cfRule type="cellIs" dxfId="803" priority="990" operator="equal">
      <formula>"Leve"</formula>
    </cfRule>
  </conditionalFormatting>
  <conditionalFormatting sqref="AF130">
    <cfRule type="cellIs" dxfId="802" priority="982" operator="equal">
      <formula>"Extremo"</formula>
    </cfRule>
    <cfRule type="cellIs" dxfId="801" priority="983" operator="equal">
      <formula>"Alto"</formula>
    </cfRule>
    <cfRule type="cellIs" dxfId="800" priority="984" operator="equal">
      <formula>"Moderado"</formula>
    </cfRule>
    <cfRule type="cellIs" dxfId="799" priority="985" operator="equal">
      <formula>"Bajo"</formula>
    </cfRule>
  </conditionalFormatting>
  <conditionalFormatting sqref="AB131">
    <cfRule type="cellIs" dxfId="798" priority="977" operator="equal">
      <formula>"Muy Alta"</formula>
    </cfRule>
    <cfRule type="cellIs" dxfId="797" priority="978" operator="equal">
      <formula>"Alta"</formula>
    </cfRule>
    <cfRule type="cellIs" dxfId="796" priority="979" operator="equal">
      <formula>"Media"</formula>
    </cfRule>
    <cfRule type="cellIs" dxfId="795" priority="980" operator="equal">
      <formula>"Baja"</formula>
    </cfRule>
    <cfRule type="cellIs" dxfId="794" priority="981" operator="equal">
      <formula>"Muy Baja"</formula>
    </cfRule>
  </conditionalFormatting>
  <conditionalFormatting sqref="AD131">
    <cfRule type="cellIs" dxfId="793" priority="972" operator="equal">
      <formula>"Catastrófico"</formula>
    </cfRule>
    <cfRule type="cellIs" dxfId="792" priority="973" operator="equal">
      <formula>"Mayor"</formula>
    </cfRule>
    <cfRule type="cellIs" dxfId="791" priority="974" operator="equal">
      <formula>"Moderado"</formula>
    </cfRule>
    <cfRule type="cellIs" dxfId="790" priority="975" operator="equal">
      <formula>"Menor"</formula>
    </cfRule>
    <cfRule type="cellIs" dxfId="789" priority="976" operator="equal">
      <formula>"Leve"</formula>
    </cfRule>
  </conditionalFormatting>
  <conditionalFormatting sqref="AF131">
    <cfRule type="cellIs" dxfId="788" priority="968" operator="equal">
      <formula>"Extremo"</formula>
    </cfRule>
    <cfRule type="cellIs" dxfId="787" priority="969" operator="equal">
      <formula>"Alto"</formula>
    </cfRule>
    <cfRule type="cellIs" dxfId="786" priority="970" operator="equal">
      <formula>"Moderado"</formula>
    </cfRule>
    <cfRule type="cellIs" dxfId="785" priority="971" operator="equal">
      <formula>"Bajo"</formula>
    </cfRule>
  </conditionalFormatting>
  <conditionalFormatting sqref="AB132">
    <cfRule type="cellIs" dxfId="784" priority="963" operator="equal">
      <formula>"Muy Alta"</formula>
    </cfRule>
    <cfRule type="cellIs" dxfId="783" priority="964" operator="equal">
      <formula>"Alta"</formula>
    </cfRule>
    <cfRule type="cellIs" dxfId="782" priority="965" operator="equal">
      <formula>"Media"</formula>
    </cfRule>
    <cfRule type="cellIs" dxfId="781" priority="966" operator="equal">
      <formula>"Baja"</formula>
    </cfRule>
    <cfRule type="cellIs" dxfId="780" priority="967" operator="equal">
      <formula>"Muy Baja"</formula>
    </cfRule>
  </conditionalFormatting>
  <conditionalFormatting sqref="AD132">
    <cfRule type="cellIs" dxfId="779" priority="958" operator="equal">
      <formula>"Catastrófico"</formula>
    </cfRule>
    <cfRule type="cellIs" dxfId="778" priority="959" operator="equal">
      <formula>"Mayor"</formula>
    </cfRule>
    <cfRule type="cellIs" dxfId="777" priority="960" operator="equal">
      <formula>"Moderado"</formula>
    </cfRule>
    <cfRule type="cellIs" dxfId="776" priority="961" operator="equal">
      <formula>"Menor"</formula>
    </cfRule>
    <cfRule type="cellIs" dxfId="775" priority="962" operator="equal">
      <formula>"Leve"</formula>
    </cfRule>
  </conditionalFormatting>
  <conditionalFormatting sqref="AF132">
    <cfRule type="cellIs" dxfId="774" priority="954" operator="equal">
      <formula>"Extremo"</formula>
    </cfRule>
    <cfRule type="cellIs" dxfId="773" priority="955" operator="equal">
      <formula>"Alto"</formula>
    </cfRule>
    <cfRule type="cellIs" dxfId="772" priority="956" operator="equal">
      <formula>"Moderado"</formula>
    </cfRule>
    <cfRule type="cellIs" dxfId="771" priority="957" operator="equal">
      <formula>"Bajo"</formula>
    </cfRule>
  </conditionalFormatting>
  <conditionalFormatting sqref="K130">
    <cfRule type="cellIs" dxfId="770" priority="949" operator="equal">
      <formula>"Muy Alta"</formula>
    </cfRule>
    <cfRule type="cellIs" dxfId="769" priority="950" operator="equal">
      <formula>"Alta"</formula>
    </cfRule>
    <cfRule type="cellIs" dxfId="768" priority="951" operator="equal">
      <formula>"Media"</formula>
    </cfRule>
    <cfRule type="cellIs" dxfId="767" priority="952" operator="equal">
      <formula>"Baja"</formula>
    </cfRule>
    <cfRule type="cellIs" dxfId="766" priority="953" operator="equal">
      <formula>"Muy Baja"</formula>
    </cfRule>
  </conditionalFormatting>
  <conditionalFormatting sqref="O130">
    <cfRule type="cellIs" dxfId="765" priority="944" operator="equal">
      <formula>"Catastrófico"</formula>
    </cfRule>
    <cfRule type="cellIs" dxfId="764" priority="945" operator="equal">
      <formula>"Mayor"</formula>
    </cfRule>
    <cfRule type="cellIs" dxfId="763" priority="946" operator="equal">
      <formula>"Moderado"</formula>
    </cfRule>
    <cfRule type="cellIs" dxfId="762" priority="947" operator="equal">
      <formula>"Menor"</formula>
    </cfRule>
    <cfRule type="cellIs" dxfId="761" priority="948" operator="equal">
      <formula>"Leve"</formula>
    </cfRule>
  </conditionalFormatting>
  <conditionalFormatting sqref="Q130">
    <cfRule type="cellIs" dxfId="760" priority="940" operator="equal">
      <formula>"Extremo"</formula>
    </cfRule>
    <cfRule type="cellIs" dxfId="759" priority="941" operator="equal">
      <formula>"Alto"</formula>
    </cfRule>
    <cfRule type="cellIs" dxfId="758" priority="942" operator="equal">
      <formula>"Moderado"</formula>
    </cfRule>
    <cfRule type="cellIs" dxfId="757" priority="943" operator="equal">
      <formula>"Bajo"</formula>
    </cfRule>
  </conditionalFormatting>
  <conditionalFormatting sqref="N130:N132">
    <cfRule type="containsText" dxfId="756" priority="939" operator="containsText" text="❌">
      <formula>NOT(ISERROR(SEARCH("❌",N130)))</formula>
    </cfRule>
  </conditionalFormatting>
  <conditionalFormatting sqref="AB130:AB132">
    <cfRule type="cellIs" dxfId="755" priority="934" operator="equal">
      <formula>"Muy Alta"</formula>
    </cfRule>
    <cfRule type="cellIs" dxfId="754" priority="935" operator="equal">
      <formula>"Alta"</formula>
    </cfRule>
    <cfRule type="cellIs" dxfId="753" priority="936" operator="equal">
      <formula>"Media"</formula>
    </cfRule>
    <cfRule type="cellIs" dxfId="752" priority="937" operator="equal">
      <formula>"Baja"</formula>
    </cfRule>
    <cfRule type="cellIs" dxfId="751" priority="938" operator="equal">
      <formula>"Muy Baja"</formula>
    </cfRule>
  </conditionalFormatting>
  <conditionalFormatting sqref="AD130:AD132">
    <cfRule type="cellIs" dxfId="750" priority="929" operator="equal">
      <formula>"Catastrófico"</formula>
    </cfRule>
    <cfRule type="cellIs" dxfId="749" priority="930" operator="equal">
      <formula>"Mayor"</formula>
    </cfRule>
    <cfRule type="cellIs" dxfId="748" priority="931" operator="equal">
      <formula>"Moderado"</formula>
    </cfRule>
    <cfRule type="cellIs" dxfId="747" priority="932" operator="equal">
      <formula>"Menor"</formula>
    </cfRule>
    <cfRule type="cellIs" dxfId="746" priority="933" operator="equal">
      <formula>"Leve"</formula>
    </cfRule>
  </conditionalFormatting>
  <conditionalFormatting sqref="AF130:AF132">
    <cfRule type="cellIs" dxfId="745" priority="925" operator="equal">
      <formula>"Extremo"</formula>
    </cfRule>
    <cfRule type="cellIs" dxfId="744" priority="926" operator="equal">
      <formula>"Alto"</formula>
    </cfRule>
    <cfRule type="cellIs" dxfId="743" priority="927" operator="equal">
      <formula>"Moderado"</formula>
    </cfRule>
    <cfRule type="cellIs" dxfId="742" priority="928" operator="equal">
      <formula>"Bajo"</formula>
    </cfRule>
  </conditionalFormatting>
  <conditionalFormatting sqref="N130:N132">
    <cfRule type="containsText" dxfId="741" priority="924" operator="containsText" text="❌">
      <formula>NOT(ISERROR(SEARCH("❌",N130)))</formula>
    </cfRule>
  </conditionalFormatting>
  <conditionalFormatting sqref="AB133">
    <cfRule type="cellIs" dxfId="740" priority="919" operator="equal">
      <formula>"Muy Alta"</formula>
    </cfRule>
    <cfRule type="cellIs" dxfId="739" priority="920" operator="equal">
      <formula>"Alta"</formula>
    </cfRule>
    <cfRule type="cellIs" dxfId="738" priority="921" operator="equal">
      <formula>"Media"</formula>
    </cfRule>
    <cfRule type="cellIs" dxfId="737" priority="922" operator="equal">
      <formula>"Baja"</formula>
    </cfRule>
    <cfRule type="cellIs" dxfId="736" priority="923" operator="equal">
      <formula>"Muy Baja"</formula>
    </cfRule>
  </conditionalFormatting>
  <conditionalFormatting sqref="AD133">
    <cfRule type="cellIs" dxfId="735" priority="914" operator="equal">
      <formula>"Catastrófico"</formula>
    </cfRule>
    <cfRule type="cellIs" dxfId="734" priority="915" operator="equal">
      <formula>"Mayor"</formula>
    </cfRule>
    <cfRule type="cellIs" dxfId="733" priority="916" operator="equal">
      <formula>"Moderado"</formula>
    </cfRule>
    <cfRule type="cellIs" dxfId="732" priority="917" operator="equal">
      <formula>"Menor"</formula>
    </cfRule>
    <cfRule type="cellIs" dxfId="731" priority="918" operator="equal">
      <formula>"Leve"</formula>
    </cfRule>
  </conditionalFormatting>
  <conditionalFormatting sqref="AF133">
    <cfRule type="cellIs" dxfId="730" priority="910" operator="equal">
      <formula>"Extremo"</formula>
    </cfRule>
    <cfRule type="cellIs" dxfId="729" priority="911" operator="equal">
      <formula>"Alto"</formula>
    </cfRule>
    <cfRule type="cellIs" dxfId="728" priority="912" operator="equal">
      <formula>"Moderado"</formula>
    </cfRule>
    <cfRule type="cellIs" dxfId="727" priority="913" operator="equal">
      <formula>"Bajo"</formula>
    </cfRule>
  </conditionalFormatting>
  <conditionalFormatting sqref="AB134">
    <cfRule type="cellIs" dxfId="726" priority="905" operator="equal">
      <formula>"Muy Alta"</formula>
    </cfRule>
    <cfRule type="cellIs" dxfId="725" priority="906" operator="equal">
      <formula>"Alta"</formula>
    </cfRule>
    <cfRule type="cellIs" dxfId="724" priority="907" operator="equal">
      <formula>"Media"</formula>
    </cfRule>
    <cfRule type="cellIs" dxfId="723" priority="908" operator="equal">
      <formula>"Baja"</formula>
    </cfRule>
    <cfRule type="cellIs" dxfId="722" priority="909" operator="equal">
      <formula>"Muy Baja"</formula>
    </cfRule>
  </conditionalFormatting>
  <conditionalFormatting sqref="AD134">
    <cfRule type="cellIs" dxfId="721" priority="900" operator="equal">
      <formula>"Catastrófico"</formula>
    </cfRule>
    <cfRule type="cellIs" dxfId="720" priority="901" operator="equal">
      <formula>"Mayor"</formula>
    </cfRule>
    <cfRule type="cellIs" dxfId="719" priority="902" operator="equal">
      <formula>"Moderado"</formula>
    </cfRule>
    <cfRule type="cellIs" dxfId="718" priority="903" operator="equal">
      <formula>"Menor"</formula>
    </cfRule>
    <cfRule type="cellIs" dxfId="717" priority="904" operator="equal">
      <formula>"Leve"</formula>
    </cfRule>
  </conditionalFormatting>
  <conditionalFormatting sqref="AF134">
    <cfRule type="cellIs" dxfId="716" priority="896" operator="equal">
      <formula>"Extremo"</formula>
    </cfRule>
    <cfRule type="cellIs" dxfId="715" priority="897" operator="equal">
      <formula>"Alto"</formula>
    </cfRule>
    <cfRule type="cellIs" dxfId="714" priority="898" operator="equal">
      <formula>"Moderado"</formula>
    </cfRule>
    <cfRule type="cellIs" dxfId="713" priority="899" operator="equal">
      <formula>"Bajo"</formula>
    </cfRule>
  </conditionalFormatting>
  <conditionalFormatting sqref="AB135">
    <cfRule type="cellIs" dxfId="712" priority="891" operator="equal">
      <formula>"Muy Alta"</formula>
    </cfRule>
    <cfRule type="cellIs" dxfId="711" priority="892" operator="equal">
      <formula>"Alta"</formula>
    </cfRule>
    <cfRule type="cellIs" dxfId="710" priority="893" operator="equal">
      <formula>"Media"</formula>
    </cfRule>
    <cfRule type="cellIs" dxfId="709" priority="894" operator="equal">
      <formula>"Baja"</formula>
    </cfRule>
    <cfRule type="cellIs" dxfId="708" priority="895" operator="equal">
      <formula>"Muy Baja"</formula>
    </cfRule>
  </conditionalFormatting>
  <conditionalFormatting sqref="AD135">
    <cfRule type="cellIs" dxfId="707" priority="886" operator="equal">
      <formula>"Catastrófico"</formula>
    </cfRule>
    <cfRule type="cellIs" dxfId="706" priority="887" operator="equal">
      <formula>"Mayor"</formula>
    </cfRule>
    <cfRule type="cellIs" dxfId="705" priority="888" operator="equal">
      <formula>"Moderado"</formula>
    </cfRule>
    <cfRule type="cellIs" dxfId="704" priority="889" operator="equal">
      <formula>"Menor"</formula>
    </cfRule>
    <cfRule type="cellIs" dxfId="703" priority="890" operator="equal">
      <formula>"Leve"</formula>
    </cfRule>
  </conditionalFormatting>
  <conditionalFormatting sqref="AF135">
    <cfRule type="cellIs" dxfId="702" priority="882" operator="equal">
      <formula>"Extremo"</formula>
    </cfRule>
    <cfRule type="cellIs" dxfId="701" priority="883" operator="equal">
      <formula>"Alto"</formula>
    </cfRule>
    <cfRule type="cellIs" dxfId="700" priority="884" operator="equal">
      <formula>"Moderado"</formula>
    </cfRule>
    <cfRule type="cellIs" dxfId="699" priority="885" operator="equal">
      <formula>"Bajo"</formula>
    </cfRule>
  </conditionalFormatting>
  <conditionalFormatting sqref="K133">
    <cfRule type="cellIs" dxfId="698" priority="877" operator="equal">
      <formula>"Muy Alta"</formula>
    </cfRule>
    <cfRule type="cellIs" dxfId="697" priority="878" operator="equal">
      <formula>"Alta"</formula>
    </cfRule>
    <cfRule type="cellIs" dxfId="696" priority="879" operator="equal">
      <formula>"Media"</formula>
    </cfRule>
    <cfRule type="cellIs" dxfId="695" priority="880" operator="equal">
      <formula>"Baja"</formula>
    </cfRule>
    <cfRule type="cellIs" dxfId="694" priority="881" operator="equal">
      <formula>"Muy Baja"</formula>
    </cfRule>
  </conditionalFormatting>
  <conditionalFormatting sqref="O133">
    <cfRule type="cellIs" dxfId="693" priority="872" operator="equal">
      <formula>"Catastrófico"</formula>
    </cfRule>
    <cfRule type="cellIs" dxfId="692" priority="873" operator="equal">
      <formula>"Mayor"</formula>
    </cfRule>
    <cfRule type="cellIs" dxfId="691" priority="874" operator="equal">
      <formula>"Moderado"</formula>
    </cfRule>
    <cfRule type="cellIs" dxfId="690" priority="875" operator="equal">
      <formula>"Menor"</formula>
    </cfRule>
    <cfRule type="cellIs" dxfId="689" priority="876" operator="equal">
      <formula>"Leve"</formula>
    </cfRule>
  </conditionalFormatting>
  <conditionalFormatting sqref="Q133">
    <cfRule type="cellIs" dxfId="688" priority="868" operator="equal">
      <formula>"Extremo"</formula>
    </cfRule>
    <cfRule type="cellIs" dxfId="687" priority="869" operator="equal">
      <formula>"Alto"</formula>
    </cfRule>
    <cfRule type="cellIs" dxfId="686" priority="870" operator="equal">
      <formula>"Moderado"</formula>
    </cfRule>
    <cfRule type="cellIs" dxfId="685" priority="871" operator="equal">
      <formula>"Bajo"</formula>
    </cfRule>
  </conditionalFormatting>
  <conditionalFormatting sqref="N133:N135">
    <cfRule type="containsText" dxfId="684" priority="867" operator="containsText" text="❌">
      <formula>NOT(ISERROR(SEARCH("❌",N133)))</formula>
    </cfRule>
  </conditionalFormatting>
  <conditionalFormatting sqref="AB133:AB135">
    <cfRule type="cellIs" dxfId="683" priority="862" operator="equal">
      <formula>"Muy Alta"</formula>
    </cfRule>
    <cfRule type="cellIs" dxfId="682" priority="863" operator="equal">
      <formula>"Alta"</formula>
    </cfRule>
    <cfRule type="cellIs" dxfId="681" priority="864" operator="equal">
      <formula>"Media"</formula>
    </cfRule>
    <cfRule type="cellIs" dxfId="680" priority="865" operator="equal">
      <formula>"Baja"</formula>
    </cfRule>
    <cfRule type="cellIs" dxfId="679" priority="866" operator="equal">
      <formula>"Muy Baja"</formula>
    </cfRule>
  </conditionalFormatting>
  <conditionalFormatting sqref="AD133:AD135">
    <cfRule type="cellIs" dxfId="678" priority="857" operator="equal">
      <formula>"Catastrófico"</formula>
    </cfRule>
    <cfRule type="cellIs" dxfId="677" priority="858" operator="equal">
      <formula>"Mayor"</formula>
    </cfRule>
    <cfRule type="cellIs" dxfId="676" priority="859" operator="equal">
      <formula>"Moderado"</formula>
    </cfRule>
    <cfRule type="cellIs" dxfId="675" priority="860" operator="equal">
      <formula>"Menor"</formula>
    </cfRule>
    <cfRule type="cellIs" dxfId="674" priority="861" operator="equal">
      <formula>"Leve"</formula>
    </cfRule>
  </conditionalFormatting>
  <conditionalFormatting sqref="AF133:AF135">
    <cfRule type="cellIs" dxfId="673" priority="853" operator="equal">
      <formula>"Extremo"</formula>
    </cfRule>
    <cfRule type="cellIs" dxfId="672" priority="854" operator="equal">
      <formula>"Alto"</formula>
    </cfRule>
    <cfRule type="cellIs" dxfId="671" priority="855" operator="equal">
      <formula>"Moderado"</formula>
    </cfRule>
    <cfRule type="cellIs" dxfId="670" priority="856" operator="equal">
      <formula>"Bajo"</formula>
    </cfRule>
  </conditionalFormatting>
  <conditionalFormatting sqref="N133:N135">
    <cfRule type="containsText" dxfId="669" priority="852" operator="containsText" text="❌">
      <formula>NOT(ISERROR(SEARCH("❌",N133)))</formula>
    </cfRule>
  </conditionalFormatting>
  <conditionalFormatting sqref="AB136">
    <cfRule type="cellIs" dxfId="668" priority="847" operator="equal">
      <formula>"Muy Alta"</formula>
    </cfRule>
    <cfRule type="cellIs" dxfId="667" priority="848" operator="equal">
      <formula>"Alta"</formula>
    </cfRule>
    <cfRule type="cellIs" dxfId="666" priority="849" operator="equal">
      <formula>"Media"</formula>
    </cfRule>
    <cfRule type="cellIs" dxfId="665" priority="850" operator="equal">
      <formula>"Baja"</formula>
    </cfRule>
    <cfRule type="cellIs" dxfId="664" priority="851" operator="equal">
      <formula>"Muy Baja"</formula>
    </cfRule>
  </conditionalFormatting>
  <conditionalFormatting sqref="AD136">
    <cfRule type="cellIs" dxfId="663" priority="842" operator="equal">
      <formula>"Catastrófico"</formula>
    </cfRule>
    <cfRule type="cellIs" dxfId="662" priority="843" operator="equal">
      <formula>"Mayor"</formula>
    </cfRule>
    <cfRule type="cellIs" dxfId="661" priority="844" operator="equal">
      <formula>"Moderado"</formula>
    </cfRule>
    <cfRule type="cellIs" dxfId="660" priority="845" operator="equal">
      <formula>"Menor"</formula>
    </cfRule>
    <cfRule type="cellIs" dxfId="659" priority="846" operator="equal">
      <formula>"Leve"</formula>
    </cfRule>
  </conditionalFormatting>
  <conditionalFormatting sqref="AF136">
    <cfRule type="cellIs" dxfId="658" priority="838" operator="equal">
      <formula>"Extremo"</formula>
    </cfRule>
    <cfRule type="cellIs" dxfId="657" priority="839" operator="equal">
      <formula>"Alto"</formula>
    </cfRule>
    <cfRule type="cellIs" dxfId="656" priority="840" operator="equal">
      <formula>"Moderado"</formula>
    </cfRule>
    <cfRule type="cellIs" dxfId="655" priority="841" operator="equal">
      <formula>"Bajo"</formula>
    </cfRule>
  </conditionalFormatting>
  <conditionalFormatting sqref="AB137">
    <cfRule type="cellIs" dxfId="654" priority="833" operator="equal">
      <formula>"Muy Alta"</formula>
    </cfRule>
    <cfRule type="cellIs" dxfId="653" priority="834" operator="equal">
      <formula>"Alta"</formula>
    </cfRule>
    <cfRule type="cellIs" dxfId="652" priority="835" operator="equal">
      <formula>"Media"</formula>
    </cfRule>
    <cfRule type="cellIs" dxfId="651" priority="836" operator="equal">
      <formula>"Baja"</formula>
    </cfRule>
    <cfRule type="cellIs" dxfId="650" priority="837" operator="equal">
      <formula>"Muy Baja"</formula>
    </cfRule>
  </conditionalFormatting>
  <conditionalFormatting sqref="AD137">
    <cfRule type="cellIs" dxfId="649" priority="828" operator="equal">
      <formula>"Catastrófico"</formula>
    </cfRule>
    <cfRule type="cellIs" dxfId="648" priority="829" operator="equal">
      <formula>"Mayor"</formula>
    </cfRule>
    <cfRule type="cellIs" dxfId="647" priority="830" operator="equal">
      <formula>"Moderado"</formula>
    </cfRule>
    <cfRule type="cellIs" dxfId="646" priority="831" operator="equal">
      <formula>"Menor"</formula>
    </cfRule>
    <cfRule type="cellIs" dxfId="645" priority="832" operator="equal">
      <formula>"Leve"</formula>
    </cfRule>
  </conditionalFormatting>
  <conditionalFormatting sqref="AF137">
    <cfRule type="cellIs" dxfId="644" priority="824" operator="equal">
      <formula>"Extremo"</formula>
    </cfRule>
    <cfRule type="cellIs" dxfId="643" priority="825" operator="equal">
      <formula>"Alto"</formula>
    </cfRule>
    <cfRule type="cellIs" dxfId="642" priority="826" operator="equal">
      <formula>"Moderado"</formula>
    </cfRule>
    <cfRule type="cellIs" dxfId="641" priority="827" operator="equal">
      <formula>"Bajo"</formula>
    </cfRule>
  </conditionalFormatting>
  <conditionalFormatting sqref="AB138">
    <cfRule type="cellIs" dxfId="640" priority="819" operator="equal">
      <formula>"Muy Alta"</formula>
    </cfRule>
    <cfRule type="cellIs" dxfId="639" priority="820" operator="equal">
      <formula>"Alta"</formula>
    </cfRule>
    <cfRule type="cellIs" dxfId="638" priority="821" operator="equal">
      <formula>"Media"</formula>
    </cfRule>
    <cfRule type="cellIs" dxfId="637" priority="822" operator="equal">
      <formula>"Baja"</formula>
    </cfRule>
    <cfRule type="cellIs" dxfId="636" priority="823" operator="equal">
      <formula>"Muy Baja"</formula>
    </cfRule>
  </conditionalFormatting>
  <conditionalFormatting sqref="AD138">
    <cfRule type="cellIs" dxfId="635" priority="814" operator="equal">
      <formula>"Catastrófico"</formula>
    </cfRule>
    <cfRule type="cellIs" dxfId="634" priority="815" operator="equal">
      <formula>"Mayor"</formula>
    </cfRule>
    <cfRule type="cellIs" dxfId="633" priority="816" operator="equal">
      <formula>"Moderado"</formula>
    </cfRule>
    <cfRule type="cellIs" dxfId="632" priority="817" operator="equal">
      <formula>"Menor"</formula>
    </cfRule>
    <cfRule type="cellIs" dxfId="631" priority="818" operator="equal">
      <formula>"Leve"</formula>
    </cfRule>
  </conditionalFormatting>
  <conditionalFormatting sqref="AF138">
    <cfRule type="cellIs" dxfId="630" priority="810" operator="equal">
      <formula>"Extremo"</formula>
    </cfRule>
    <cfRule type="cellIs" dxfId="629" priority="811" operator="equal">
      <formula>"Alto"</formula>
    </cfRule>
    <cfRule type="cellIs" dxfId="628" priority="812" operator="equal">
      <formula>"Moderado"</formula>
    </cfRule>
    <cfRule type="cellIs" dxfId="627" priority="813" operator="equal">
      <formula>"Bajo"</formula>
    </cfRule>
  </conditionalFormatting>
  <conditionalFormatting sqref="K136">
    <cfRule type="cellIs" dxfId="626" priority="805" operator="equal">
      <formula>"Muy Alta"</formula>
    </cfRule>
    <cfRule type="cellIs" dxfId="625" priority="806" operator="equal">
      <formula>"Alta"</formula>
    </cfRule>
    <cfRule type="cellIs" dxfId="624" priority="807" operator="equal">
      <formula>"Media"</formula>
    </cfRule>
    <cfRule type="cellIs" dxfId="623" priority="808" operator="equal">
      <formula>"Baja"</formula>
    </cfRule>
    <cfRule type="cellIs" dxfId="622" priority="809" operator="equal">
      <formula>"Muy Baja"</formula>
    </cfRule>
  </conditionalFormatting>
  <conditionalFormatting sqref="O136">
    <cfRule type="cellIs" dxfId="621" priority="800" operator="equal">
      <formula>"Catastrófico"</formula>
    </cfRule>
    <cfRule type="cellIs" dxfId="620" priority="801" operator="equal">
      <formula>"Mayor"</formula>
    </cfRule>
    <cfRule type="cellIs" dxfId="619" priority="802" operator="equal">
      <formula>"Moderado"</formula>
    </cfRule>
    <cfRule type="cellIs" dxfId="618" priority="803" operator="equal">
      <formula>"Menor"</formula>
    </cfRule>
    <cfRule type="cellIs" dxfId="617" priority="804" operator="equal">
      <formula>"Leve"</formula>
    </cfRule>
  </conditionalFormatting>
  <conditionalFormatting sqref="Q136">
    <cfRule type="cellIs" dxfId="616" priority="796" operator="equal">
      <formula>"Extremo"</formula>
    </cfRule>
    <cfRule type="cellIs" dxfId="615" priority="797" operator="equal">
      <formula>"Alto"</formula>
    </cfRule>
    <cfRule type="cellIs" dxfId="614" priority="798" operator="equal">
      <formula>"Moderado"</formula>
    </cfRule>
    <cfRule type="cellIs" dxfId="613" priority="799" operator="equal">
      <formula>"Bajo"</formula>
    </cfRule>
  </conditionalFormatting>
  <conditionalFormatting sqref="N136:N138">
    <cfRule type="containsText" dxfId="612" priority="795" operator="containsText" text="❌">
      <formula>NOT(ISERROR(SEARCH("❌",N136)))</formula>
    </cfRule>
  </conditionalFormatting>
  <conditionalFormatting sqref="AB136:AB138">
    <cfRule type="cellIs" dxfId="611" priority="790" operator="equal">
      <formula>"Muy Alta"</formula>
    </cfRule>
    <cfRule type="cellIs" dxfId="610" priority="791" operator="equal">
      <formula>"Alta"</formula>
    </cfRule>
    <cfRule type="cellIs" dxfId="609" priority="792" operator="equal">
      <formula>"Media"</formula>
    </cfRule>
    <cfRule type="cellIs" dxfId="608" priority="793" operator="equal">
      <formula>"Baja"</formula>
    </cfRule>
    <cfRule type="cellIs" dxfId="607" priority="794" operator="equal">
      <formula>"Muy Baja"</formula>
    </cfRule>
  </conditionalFormatting>
  <conditionalFormatting sqref="AD136:AD138">
    <cfRule type="cellIs" dxfId="606" priority="785" operator="equal">
      <formula>"Catastrófico"</formula>
    </cfRule>
    <cfRule type="cellIs" dxfId="605" priority="786" operator="equal">
      <formula>"Mayor"</formula>
    </cfRule>
    <cfRule type="cellIs" dxfId="604" priority="787" operator="equal">
      <formula>"Moderado"</formula>
    </cfRule>
    <cfRule type="cellIs" dxfId="603" priority="788" operator="equal">
      <formula>"Menor"</formula>
    </cfRule>
    <cfRule type="cellIs" dxfId="602" priority="789" operator="equal">
      <formula>"Leve"</formula>
    </cfRule>
  </conditionalFormatting>
  <conditionalFormatting sqref="AF136:AF138">
    <cfRule type="cellIs" dxfId="601" priority="781" operator="equal">
      <formula>"Extremo"</formula>
    </cfRule>
    <cfRule type="cellIs" dxfId="600" priority="782" operator="equal">
      <formula>"Alto"</formula>
    </cfRule>
    <cfRule type="cellIs" dxfId="599" priority="783" operator="equal">
      <formula>"Moderado"</formula>
    </cfRule>
    <cfRule type="cellIs" dxfId="598" priority="784" operator="equal">
      <formula>"Bajo"</formula>
    </cfRule>
  </conditionalFormatting>
  <conditionalFormatting sqref="N136:N138">
    <cfRule type="containsText" dxfId="597" priority="780" operator="containsText" text="❌">
      <formula>NOT(ISERROR(SEARCH("❌",N136)))</formula>
    </cfRule>
  </conditionalFormatting>
  <conditionalFormatting sqref="AB139">
    <cfRule type="cellIs" dxfId="596" priority="703" operator="equal">
      <formula>"Muy Alta"</formula>
    </cfRule>
    <cfRule type="cellIs" dxfId="595" priority="704" operator="equal">
      <formula>"Alta"</formula>
    </cfRule>
    <cfRule type="cellIs" dxfId="594" priority="705" operator="equal">
      <formula>"Media"</formula>
    </cfRule>
    <cfRule type="cellIs" dxfId="593" priority="706" operator="equal">
      <formula>"Baja"</formula>
    </cfRule>
    <cfRule type="cellIs" dxfId="592" priority="707" operator="equal">
      <formula>"Muy Baja"</formula>
    </cfRule>
  </conditionalFormatting>
  <conditionalFormatting sqref="AD139">
    <cfRule type="cellIs" dxfId="591" priority="698" operator="equal">
      <formula>"Catastrófico"</formula>
    </cfRule>
    <cfRule type="cellIs" dxfId="590" priority="699" operator="equal">
      <formula>"Mayor"</formula>
    </cfRule>
    <cfRule type="cellIs" dxfId="589" priority="700" operator="equal">
      <formula>"Moderado"</formula>
    </cfRule>
    <cfRule type="cellIs" dxfId="588" priority="701" operator="equal">
      <formula>"Menor"</formula>
    </cfRule>
    <cfRule type="cellIs" dxfId="587" priority="702" operator="equal">
      <formula>"Leve"</formula>
    </cfRule>
  </conditionalFormatting>
  <conditionalFormatting sqref="AF139">
    <cfRule type="cellIs" dxfId="586" priority="694" operator="equal">
      <formula>"Extremo"</formula>
    </cfRule>
    <cfRule type="cellIs" dxfId="585" priority="695" operator="equal">
      <formula>"Alto"</formula>
    </cfRule>
    <cfRule type="cellIs" dxfId="584" priority="696" operator="equal">
      <formula>"Moderado"</formula>
    </cfRule>
    <cfRule type="cellIs" dxfId="583" priority="697" operator="equal">
      <formula>"Bajo"</formula>
    </cfRule>
  </conditionalFormatting>
  <conditionalFormatting sqref="AB140">
    <cfRule type="cellIs" dxfId="582" priority="689" operator="equal">
      <formula>"Muy Alta"</formula>
    </cfRule>
    <cfRule type="cellIs" dxfId="581" priority="690" operator="equal">
      <formula>"Alta"</formula>
    </cfRule>
    <cfRule type="cellIs" dxfId="580" priority="691" operator="equal">
      <formula>"Media"</formula>
    </cfRule>
    <cfRule type="cellIs" dxfId="579" priority="692" operator="equal">
      <formula>"Baja"</formula>
    </cfRule>
    <cfRule type="cellIs" dxfId="578" priority="693" operator="equal">
      <formula>"Muy Baja"</formula>
    </cfRule>
  </conditionalFormatting>
  <conditionalFormatting sqref="AD140">
    <cfRule type="cellIs" dxfId="577" priority="684" operator="equal">
      <formula>"Catastrófico"</formula>
    </cfRule>
    <cfRule type="cellIs" dxfId="576" priority="685" operator="equal">
      <formula>"Mayor"</formula>
    </cfRule>
    <cfRule type="cellIs" dxfId="575" priority="686" operator="equal">
      <formula>"Moderado"</formula>
    </cfRule>
    <cfRule type="cellIs" dxfId="574" priority="687" operator="equal">
      <formula>"Menor"</formula>
    </cfRule>
    <cfRule type="cellIs" dxfId="573" priority="688" operator="equal">
      <formula>"Leve"</formula>
    </cfRule>
  </conditionalFormatting>
  <conditionalFormatting sqref="AF140">
    <cfRule type="cellIs" dxfId="572" priority="680" operator="equal">
      <formula>"Extremo"</formula>
    </cfRule>
    <cfRule type="cellIs" dxfId="571" priority="681" operator="equal">
      <formula>"Alto"</formula>
    </cfRule>
    <cfRule type="cellIs" dxfId="570" priority="682" operator="equal">
      <formula>"Moderado"</formula>
    </cfRule>
    <cfRule type="cellIs" dxfId="569" priority="683" operator="equal">
      <formula>"Bajo"</formula>
    </cfRule>
  </conditionalFormatting>
  <conditionalFormatting sqref="AB141">
    <cfRule type="cellIs" dxfId="568" priority="675" operator="equal">
      <formula>"Muy Alta"</formula>
    </cfRule>
    <cfRule type="cellIs" dxfId="567" priority="676" operator="equal">
      <formula>"Alta"</formula>
    </cfRule>
    <cfRule type="cellIs" dxfId="566" priority="677" operator="equal">
      <formula>"Media"</formula>
    </cfRule>
    <cfRule type="cellIs" dxfId="565" priority="678" operator="equal">
      <formula>"Baja"</formula>
    </cfRule>
    <cfRule type="cellIs" dxfId="564" priority="679" operator="equal">
      <formula>"Muy Baja"</formula>
    </cfRule>
  </conditionalFormatting>
  <conditionalFormatting sqref="AD141">
    <cfRule type="cellIs" dxfId="563" priority="670" operator="equal">
      <formula>"Catastrófico"</formula>
    </cfRule>
    <cfRule type="cellIs" dxfId="562" priority="671" operator="equal">
      <formula>"Mayor"</formula>
    </cfRule>
    <cfRule type="cellIs" dxfId="561" priority="672" operator="equal">
      <formula>"Moderado"</formula>
    </cfRule>
    <cfRule type="cellIs" dxfId="560" priority="673" operator="equal">
      <formula>"Menor"</formula>
    </cfRule>
    <cfRule type="cellIs" dxfId="559" priority="674" operator="equal">
      <formula>"Leve"</formula>
    </cfRule>
  </conditionalFormatting>
  <conditionalFormatting sqref="AF141">
    <cfRule type="cellIs" dxfId="558" priority="666" operator="equal">
      <formula>"Extremo"</formula>
    </cfRule>
    <cfRule type="cellIs" dxfId="557" priority="667" operator="equal">
      <formula>"Alto"</formula>
    </cfRule>
    <cfRule type="cellIs" dxfId="556" priority="668" operator="equal">
      <formula>"Moderado"</formula>
    </cfRule>
    <cfRule type="cellIs" dxfId="555" priority="669" operator="equal">
      <formula>"Bajo"</formula>
    </cfRule>
  </conditionalFormatting>
  <conditionalFormatting sqref="K139">
    <cfRule type="cellIs" dxfId="554" priority="661" operator="equal">
      <formula>"Muy Alta"</formula>
    </cfRule>
    <cfRule type="cellIs" dxfId="553" priority="662" operator="equal">
      <formula>"Alta"</formula>
    </cfRule>
    <cfRule type="cellIs" dxfId="552" priority="663" operator="equal">
      <formula>"Media"</formula>
    </cfRule>
    <cfRule type="cellIs" dxfId="551" priority="664" operator="equal">
      <formula>"Baja"</formula>
    </cfRule>
    <cfRule type="cellIs" dxfId="550" priority="665" operator="equal">
      <formula>"Muy Baja"</formula>
    </cfRule>
  </conditionalFormatting>
  <conditionalFormatting sqref="O139">
    <cfRule type="cellIs" dxfId="549" priority="656" operator="equal">
      <formula>"Catastrófico"</formula>
    </cfRule>
    <cfRule type="cellIs" dxfId="548" priority="657" operator="equal">
      <formula>"Mayor"</formula>
    </cfRule>
    <cfRule type="cellIs" dxfId="547" priority="658" operator="equal">
      <formula>"Moderado"</formula>
    </cfRule>
    <cfRule type="cellIs" dxfId="546" priority="659" operator="equal">
      <formula>"Menor"</formula>
    </cfRule>
    <cfRule type="cellIs" dxfId="545" priority="660" operator="equal">
      <formula>"Leve"</formula>
    </cfRule>
  </conditionalFormatting>
  <conditionalFormatting sqref="Q139">
    <cfRule type="cellIs" dxfId="544" priority="652" operator="equal">
      <formula>"Extremo"</formula>
    </cfRule>
    <cfRule type="cellIs" dxfId="543" priority="653" operator="equal">
      <formula>"Alto"</formula>
    </cfRule>
    <cfRule type="cellIs" dxfId="542" priority="654" operator="equal">
      <formula>"Moderado"</formula>
    </cfRule>
    <cfRule type="cellIs" dxfId="541" priority="655" operator="equal">
      <formula>"Bajo"</formula>
    </cfRule>
  </conditionalFormatting>
  <conditionalFormatting sqref="N139:N141">
    <cfRule type="containsText" dxfId="540" priority="651" operator="containsText" text="❌">
      <formula>NOT(ISERROR(SEARCH("❌",N139)))</formula>
    </cfRule>
  </conditionalFormatting>
  <conditionalFormatting sqref="AB139:AB141">
    <cfRule type="cellIs" dxfId="539" priority="646" operator="equal">
      <formula>"Muy Alta"</formula>
    </cfRule>
    <cfRule type="cellIs" dxfId="538" priority="647" operator="equal">
      <formula>"Alta"</formula>
    </cfRule>
    <cfRule type="cellIs" dxfId="537" priority="648" operator="equal">
      <formula>"Media"</formula>
    </cfRule>
    <cfRule type="cellIs" dxfId="536" priority="649" operator="equal">
      <formula>"Baja"</formula>
    </cfRule>
    <cfRule type="cellIs" dxfId="535" priority="650" operator="equal">
      <formula>"Muy Baja"</formula>
    </cfRule>
  </conditionalFormatting>
  <conditionalFormatting sqref="AD139:AD141">
    <cfRule type="cellIs" dxfId="534" priority="641" operator="equal">
      <formula>"Catastrófico"</formula>
    </cfRule>
    <cfRule type="cellIs" dxfId="533" priority="642" operator="equal">
      <formula>"Mayor"</formula>
    </cfRule>
    <cfRule type="cellIs" dxfId="532" priority="643" operator="equal">
      <formula>"Moderado"</formula>
    </cfRule>
    <cfRule type="cellIs" dxfId="531" priority="644" operator="equal">
      <formula>"Menor"</formula>
    </cfRule>
    <cfRule type="cellIs" dxfId="530" priority="645" operator="equal">
      <formula>"Leve"</formula>
    </cfRule>
  </conditionalFormatting>
  <conditionalFormatting sqref="AF139:AF141">
    <cfRule type="cellIs" dxfId="529" priority="637" operator="equal">
      <formula>"Extremo"</formula>
    </cfRule>
    <cfRule type="cellIs" dxfId="528" priority="638" operator="equal">
      <formula>"Alto"</formula>
    </cfRule>
    <cfRule type="cellIs" dxfId="527" priority="639" operator="equal">
      <formula>"Moderado"</formula>
    </cfRule>
    <cfRule type="cellIs" dxfId="526" priority="640" operator="equal">
      <formula>"Bajo"</formula>
    </cfRule>
  </conditionalFormatting>
  <conditionalFormatting sqref="N139:N141">
    <cfRule type="containsText" dxfId="525" priority="636" operator="containsText" text="❌">
      <formula>NOT(ISERROR(SEARCH("❌",N139)))</formula>
    </cfRule>
  </conditionalFormatting>
  <conditionalFormatting sqref="AB142">
    <cfRule type="cellIs" dxfId="524" priority="631" operator="equal">
      <formula>"Muy Alta"</formula>
    </cfRule>
    <cfRule type="cellIs" dxfId="523" priority="632" operator="equal">
      <formula>"Alta"</formula>
    </cfRule>
    <cfRule type="cellIs" dxfId="522" priority="633" operator="equal">
      <formula>"Media"</formula>
    </cfRule>
    <cfRule type="cellIs" dxfId="521" priority="634" operator="equal">
      <formula>"Baja"</formula>
    </cfRule>
    <cfRule type="cellIs" dxfId="520" priority="635" operator="equal">
      <formula>"Muy Baja"</formula>
    </cfRule>
  </conditionalFormatting>
  <conditionalFormatting sqref="AD142">
    <cfRule type="cellIs" dxfId="519" priority="626" operator="equal">
      <formula>"Catastrófico"</formula>
    </cfRule>
    <cfRule type="cellIs" dxfId="518" priority="627" operator="equal">
      <formula>"Mayor"</formula>
    </cfRule>
    <cfRule type="cellIs" dxfId="517" priority="628" operator="equal">
      <formula>"Moderado"</formula>
    </cfRule>
    <cfRule type="cellIs" dxfId="516" priority="629" operator="equal">
      <formula>"Menor"</formula>
    </cfRule>
    <cfRule type="cellIs" dxfId="515" priority="630" operator="equal">
      <formula>"Leve"</formula>
    </cfRule>
  </conditionalFormatting>
  <conditionalFormatting sqref="AF142">
    <cfRule type="cellIs" dxfId="514" priority="622" operator="equal">
      <formula>"Extremo"</formula>
    </cfRule>
    <cfRule type="cellIs" dxfId="513" priority="623" operator="equal">
      <formula>"Alto"</formula>
    </cfRule>
    <cfRule type="cellIs" dxfId="512" priority="624" operator="equal">
      <formula>"Moderado"</formula>
    </cfRule>
    <cfRule type="cellIs" dxfId="511" priority="625" operator="equal">
      <formula>"Bajo"</formula>
    </cfRule>
  </conditionalFormatting>
  <conditionalFormatting sqref="AB143">
    <cfRule type="cellIs" dxfId="510" priority="617" operator="equal">
      <formula>"Muy Alta"</formula>
    </cfRule>
    <cfRule type="cellIs" dxfId="509" priority="618" operator="equal">
      <formula>"Alta"</formula>
    </cfRule>
    <cfRule type="cellIs" dxfId="508" priority="619" operator="equal">
      <formula>"Media"</formula>
    </cfRule>
    <cfRule type="cellIs" dxfId="507" priority="620" operator="equal">
      <formula>"Baja"</formula>
    </cfRule>
    <cfRule type="cellIs" dxfId="506" priority="621" operator="equal">
      <formula>"Muy Baja"</formula>
    </cfRule>
  </conditionalFormatting>
  <conditionalFormatting sqref="AD143">
    <cfRule type="cellIs" dxfId="505" priority="612" operator="equal">
      <formula>"Catastrófico"</formula>
    </cfRule>
    <cfRule type="cellIs" dxfId="504" priority="613" operator="equal">
      <formula>"Mayor"</formula>
    </cfRule>
    <cfRule type="cellIs" dxfId="503" priority="614" operator="equal">
      <formula>"Moderado"</formula>
    </cfRule>
    <cfRule type="cellIs" dxfId="502" priority="615" operator="equal">
      <formula>"Menor"</formula>
    </cfRule>
    <cfRule type="cellIs" dxfId="501" priority="616" operator="equal">
      <formula>"Leve"</formula>
    </cfRule>
  </conditionalFormatting>
  <conditionalFormatting sqref="AF143">
    <cfRule type="cellIs" dxfId="500" priority="608" operator="equal">
      <formula>"Extremo"</formula>
    </cfRule>
    <cfRule type="cellIs" dxfId="499" priority="609" operator="equal">
      <formula>"Alto"</formula>
    </cfRule>
    <cfRule type="cellIs" dxfId="498" priority="610" operator="equal">
      <formula>"Moderado"</formula>
    </cfRule>
    <cfRule type="cellIs" dxfId="497" priority="611" operator="equal">
      <formula>"Bajo"</formula>
    </cfRule>
  </conditionalFormatting>
  <conditionalFormatting sqref="AB144">
    <cfRule type="cellIs" dxfId="496" priority="603" operator="equal">
      <formula>"Muy Alta"</formula>
    </cfRule>
    <cfRule type="cellIs" dxfId="495" priority="604" operator="equal">
      <formula>"Alta"</formula>
    </cfRule>
    <cfRule type="cellIs" dxfId="494" priority="605" operator="equal">
      <formula>"Media"</formula>
    </cfRule>
    <cfRule type="cellIs" dxfId="493" priority="606" operator="equal">
      <formula>"Baja"</formula>
    </cfRule>
    <cfRule type="cellIs" dxfId="492" priority="607" operator="equal">
      <formula>"Muy Baja"</formula>
    </cfRule>
  </conditionalFormatting>
  <conditionalFormatting sqref="AD144">
    <cfRule type="cellIs" dxfId="491" priority="598" operator="equal">
      <formula>"Catastrófico"</formula>
    </cfRule>
    <cfRule type="cellIs" dxfId="490" priority="599" operator="equal">
      <formula>"Mayor"</formula>
    </cfRule>
    <cfRule type="cellIs" dxfId="489" priority="600" operator="equal">
      <formula>"Moderado"</formula>
    </cfRule>
    <cfRule type="cellIs" dxfId="488" priority="601" operator="equal">
      <formula>"Menor"</formula>
    </cfRule>
    <cfRule type="cellIs" dxfId="487" priority="602" operator="equal">
      <formula>"Leve"</formula>
    </cfRule>
  </conditionalFormatting>
  <conditionalFormatting sqref="AF144">
    <cfRule type="cellIs" dxfId="486" priority="594" operator="equal">
      <formula>"Extremo"</formula>
    </cfRule>
    <cfRule type="cellIs" dxfId="485" priority="595" operator="equal">
      <formula>"Alto"</formula>
    </cfRule>
    <cfRule type="cellIs" dxfId="484" priority="596" operator="equal">
      <formula>"Moderado"</formula>
    </cfRule>
    <cfRule type="cellIs" dxfId="483" priority="597" operator="equal">
      <formula>"Bajo"</formula>
    </cfRule>
  </conditionalFormatting>
  <conditionalFormatting sqref="K142">
    <cfRule type="cellIs" dxfId="482" priority="589" operator="equal">
      <formula>"Muy Alta"</formula>
    </cfRule>
    <cfRule type="cellIs" dxfId="481" priority="590" operator="equal">
      <formula>"Alta"</formula>
    </cfRule>
    <cfRule type="cellIs" dxfId="480" priority="591" operator="equal">
      <formula>"Media"</formula>
    </cfRule>
    <cfRule type="cellIs" dxfId="479" priority="592" operator="equal">
      <formula>"Baja"</formula>
    </cfRule>
    <cfRule type="cellIs" dxfId="478" priority="593" operator="equal">
      <formula>"Muy Baja"</formula>
    </cfRule>
  </conditionalFormatting>
  <conditionalFormatting sqref="O142">
    <cfRule type="cellIs" dxfId="477" priority="584" operator="equal">
      <formula>"Catastrófico"</formula>
    </cfRule>
    <cfRule type="cellIs" dxfId="476" priority="585" operator="equal">
      <formula>"Mayor"</formula>
    </cfRule>
    <cfRule type="cellIs" dxfId="475" priority="586" operator="equal">
      <formula>"Moderado"</formula>
    </cfRule>
    <cfRule type="cellIs" dxfId="474" priority="587" operator="equal">
      <formula>"Menor"</formula>
    </cfRule>
    <cfRule type="cellIs" dxfId="473" priority="588" operator="equal">
      <formula>"Leve"</formula>
    </cfRule>
  </conditionalFormatting>
  <conditionalFormatting sqref="Q142">
    <cfRule type="cellIs" dxfId="472" priority="580" operator="equal">
      <formula>"Extremo"</formula>
    </cfRule>
    <cfRule type="cellIs" dxfId="471" priority="581" operator="equal">
      <formula>"Alto"</formula>
    </cfRule>
    <cfRule type="cellIs" dxfId="470" priority="582" operator="equal">
      <formula>"Moderado"</formula>
    </cfRule>
    <cfRule type="cellIs" dxfId="469" priority="583" operator="equal">
      <formula>"Bajo"</formula>
    </cfRule>
  </conditionalFormatting>
  <conditionalFormatting sqref="N142:N144">
    <cfRule type="containsText" dxfId="468" priority="579" operator="containsText" text="❌">
      <formula>NOT(ISERROR(SEARCH("❌",N142)))</formula>
    </cfRule>
  </conditionalFormatting>
  <conditionalFormatting sqref="AB142:AB144">
    <cfRule type="cellIs" dxfId="467" priority="574" operator="equal">
      <formula>"Muy Alta"</formula>
    </cfRule>
    <cfRule type="cellIs" dxfId="466" priority="575" operator="equal">
      <formula>"Alta"</formula>
    </cfRule>
    <cfRule type="cellIs" dxfId="465" priority="576" operator="equal">
      <formula>"Media"</formula>
    </cfRule>
    <cfRule type="cellIs" dxfId="464" priority="577" operator="equal">
      <formula>"Baja"</formula>
    </cfRule>
    <cfRule type="cellIs" dxfId="463" priority="578" operator="equal">
      <formula>"Muy Baja"</formula>
    </cfRule>
  </conditionalFormatting>
  <conditionalFormatting sqref="AD142:AD144">
    <cfRule type="cellIs" dxfId="462" priority="569" operator="equal">
      <formula>"Catastrófico"</formula>
    </cfRule>
    <cfRule type="cellIs" dxfId="461" priority="570" operator="equal">
      <formula>"Mayor"</formula>
    </cfRule>
    <cfRule type="cellIs" dxfId="460" priority="571" operator="equal">
      <formula>"Moderado"</formula>
    </cfRule>
    <cfRule type="cellIs" dxfId="459" priority="572" operator="equal">
      <formula>"Menor"</formula>
    </cfRule>
    <cfRule type="cellIs" dxfId="458" priority="573" operator="equal">
      <formula>"Leve"</formula>
    </cfRule>
  </conditionalFormatting>
  <conditionalFormatting sqref="AF142:AF144">
    <cfRule type="cellIs" dxfId="457" priority="565" operator="equal">
      <formula>"Extremo"</formula>
    </cfRule>
    <cfRule type="cellIs" dxfId="456" priority="566" operator="equal">
      <formula>"Alto"</formula>
    </cfRule>
    <cfRule type="cellIs" dxfId="455" priority="567" operator="equal">
      <formula>"Moderado"</formula>
    </cfRule>
    <cfRule type="cellIs" dxfId="454" priority="568" operator="equal">
      <formula>"Bajo"</formula>
    </cfRule>
  </conditionalFormatting>
  <conditionalFormatting sqref="N142:N144">
    <cfRule type="containsText" dxfId="453" priority="564" operator="containsText" text="❌">
      <formula>NOT(ISERROR(SEARCH("❌",N142)))</formula>
    </cfRule>
  </conditionalFormatting>
  <conditionalFormatting sqref="AB145">
    <cfRule type="cellIs" dxfId="452" priority="559" operator="equal">
      <formula>"Muy Alta"</formula>
    </cfRule>
    <cfRule type="cellIs" dxfId="451" priority="560" operator="equal">
      <formula>"Alta"</formula>
    </cfRule>
    <cfRule type="cellIs" dxfId="450" priority="561" operator="equal">
      <formula>"Media"</formula>
    </cfRule>
    <cfRule type="cellIs" dxfId="449" priority="562" operator="equal">
      <formula>"Baja"</formula>
    </cfRule>
    <cfRule type="cellIs" dxfId="448" priority="563" operator="equal">
      <formula>"Muy Baja"</formula>
    </cfRule>
  </conditionalFormatting>
  <conditionalFormatting sqref="AD145">
    <cfRule type="cellIs" dxfId="447" priority="554" operator="equal">
      <formula>"Catastrófico"</formula>
    </cfRule>
    <cfRule type="cellIs" dxfId="446" priority="555" operator="equal">
      <formula>"Mayor"</formula>
    </cfRule>
    <cfRule type="cellIs" dxfId="445" priority="556" operator="equal">
      <formula>"Moderado"</formula>
    </cfRule>
    <cfRule type="cellIs" dxfId="444" priority="557" operator="equal">
      <formula>"Menor"</formula>
    </cfRule>
    <cfRule type="cellIs" dxfId="443" priority="558" operator="equal">
      <formula>"Leve"</formula>
    </cfRule>
  </conditionalFormatting>
  <conditionalFormatting sqref="AF145">
    <cfRule type="cellIs" dxfId="442" priority="550" operator="equal">
      <formula>"Extremo"</formula>
    </cfRule>
    <cfRule type="cellIs" dxfId="441" priority="551" operator="equal">
      <formula>"Alto"</formula>
    </cfRule>
    <cfRule type="cellIs" dxfId="440" priority="552" operator="equal">
      <formula>"Moderado"</formula>
    </cfRule>
    <cfRule type="cellIs" dxfId="439" priority="553" operator="equal">
      <formula>"Bajo"</formula>
    </cfRule>
  </conditionalFormatting>
  <conditionalFormatting sqref="AB146">
    <cfRule type="cellIs" dxfId="438" priority="545" operator="equal">
      <formula>"Muy Alta"</formula>
    </cfRule>
    <cfRule type="cellIs" dxfId="437" priority="546" operator="equal">
      <formula>"Alta"</formula>
    </cfRule>
    <cfRule type="cellIs" dxfId="436" priority="547" operator="equal">
      <formula>"Media"</formula>
    </cfRule>
    <cfRule type="cellIs" dxfId="435" priority="548" operator="equal">
      <formula>"Baja"</formula>
    </cfRule>
    <cfRule type="cellIs" dxfId="434" priority="549" operator="equal">
      <formula>"Muy Baja"</formula>
    </cfRule>
  </conditionalFormatting>
  <conditionalFormatting sqref="AD146">
    <cfRule type="cellIs" dxfId="433" priority="540" operator="equal">
      <formula>"Catastrófico"</formula>
    </cfRule>
    <cfRule type="cellIs" dxfId="432" priority="541" operator="equal">
      <formula>"Mayor"</formula>
    </cfRule>
    <cfRule type="cellIs" dxfId="431" priority="542" operator="equal">
      <formula>"Moderado"</formula>
    </cfRule>
    <cfRule type="cellIs" dxfId="430" priority="543" operator="equal">
      <formula>"Menor"</formula>
    </cfRule>
    <cfRule type="cellIs" dxfId="429" priority="544" operator="equal">
      <formula>"Leve"</formula>
    </cfRule>
  </conditionalFormatting>
  <conditionalFormatting sqref="AF146">
    <cfRule type="cellIs" dxfId="428" priority="536" operator="equal">
      <formula>"Extremo"</formula>
    </cfRule>
    <cfRule type="cellIs" dxfId="427" priority="537" operator="equal">
      <formula>"Alto"</formula>
    </cfRule>
    <cfRule type="cellIs" dxfId="426" priority="538" operator="equal">
      <formula>"Moderado"</formula>
    </cfRule>
    <cfRule type="cellIs" dxfId="425" priority="539" operator="equal">
      <formula>"Bajo"</formula>
    </cfRule>
  </conditionalFormatting>
  <conditionalFormatting sqref="AB147">
    <cfRule type="cellIs" dxfId="424" priority="531" operator="equal">
      <formula>"Muy Alta"</formula>
    </cfRule>
    <cfRule type="cellIs" dxfId="423" priority="532" operator="equal">
      <formula>"Alta"</formula>
    </cfRule>
    <cfRule type="cellIs" dxfId="422" priority="533" operator="equal">
      <formula>"Media"</formula>
    </cfRule>
    <cfRule type="cellIs" dxfId="421" priority="534" operator="equal">
      <formula>"Baja"</formula>
    </cfRule>
    <cfRule type="cellIs" dxfId="420" priority="535" operator="equal">
      <formula>"Muy Baja"</formula>
    </cfRule>
  </conditionalFormatting>
  <conditionalFormatting sqref="AD147">
    <cfRule type="cellIs" dxfId="419" priority="526" operator="equal">
      <formula>"Catastrófico"</formula>
    </cfRule>
    <cfRule type="cellIs" dxfId="418" priority="527" operator="equal">
      <formula>"Mayor"</formula>
    </cfRule>
    <cfRule type="cellIs" dxfId="417" priority="528" operator="equal">
      <formula>"Moderado"</formula>
    </cfRule>
    <cfRule type="cellIs" dxfId="416" priority="529" operator="equal">
      <formula>"Menor"</formula>
    </cfRule>
    <cfRule type="cellIs" dxfId="415" priority="530" operator="equal">
      <formula>"Leve"</formula>
    </cfRule>
  </conditionalFormatting>
  <conditionalFormatting sqref="AF147">
    <cfRule type="cellIs" dxfId="414" priority="522" operator="equal">
      <formula>"Extremo"</formula>
    </cfRule>
    <cfRule type="cellIs" dxfId="413" priority="523" operator="equal">
      <formula>"Alto"</formula>
    </cfRule>
    <cfRule type="cellIs" dxfId="412" priority="524" operator="equal">
      <formula>"Moderado"</formula>
    </cfRule>
    <cfRule type="cellIs" dxfId="411" priority="525" operator="equal">
      <formula>"Bajo"</formula>
    </cfRule>
  </conditionalFormatting>
  <conditionalFormatting sqref="K145">
    <cfRule type="cellIs" dxfId="410" priority="517" operator="equal">
      <formula>"Muy Alta"</formula>
    </cfRule>
    <cfRule type="cellIs" dxfId="409" priority="518" operator="equal">
      <formula>"Alta"</formula>
    </cfRule>
    <cfRule type="cellIs" dxfId="408" priority="519" operator="equal">
      <formula>"Media"</formula>
    </cfRule>
    <cfRule type="cellIs" dxfId="407" priority="520" operator="equal">
      <formula>"Baja"</formula>
    </cfRule>
    <cfRule type="cellIs" dxfId="406" priority="521" operator="equal">
      <formula>"Muy Baja"</formula>
    </cfRule>
  </conditionalFormatting>
  <conditionalFormatting sqref="O145">
    <cfRule type="cellIs" dxfId="405" priority="512" operator="equal">
      <formula>"Catastrófico"</formula>
    </cfRule>
    <cfRule type="cellIs" dxfId="404" priority="513" operator="equal">
      <formula>"Mayor"</formula>
    </cfRule>
    <cfRule type="cellIs" dxfId="403" priority="514" operator="equal">
      <formula>"Moderado"</formula>
    </cfRule>
    <cfRule type="cellIs" dxfId="402" priority="515" operator="equal">
      <formula>"Menor"</formula>
    </cfRule>
    <cfRule type="cellIs" dxfId="401" priority="516" operator="equal">
      <formula>"Leve"</formula>
    </cfRule>
  </conditionalFormatting>
  <conditionalFormatting sqref="Q145">
    <cfRule type="cellIs" dxfId="400" priority="508" operator="equal">
      <formula>"Extremo"</formula>
    </cfRule>
    <cfRule type="cellIs" dxfId="399" priority="509" operator="equal">
      <formula>"Alto"</formula>
    </cfRule>
    <cfRule type="cellIs" dxfId="398" priority="510" operator="equal">
      <formula>"Moderado"</formula>
    </cfRule>
    <cfRule type="cellIs" dxfId="397" priority="511" operator="equal">
      <formula>"Bajo"</formula>
    </cfRule>
  </conditionalFormatting>
  <conditionalFormatting sqref="N145:N147">
    <cfRule type="containsText" dxfId="396" priority="507" operator="containsText" text="❌">
      <formula>NOT(ISERROR(SEARCH("❌",N145)))</formula>
    </cfRule>
  </conditionalFormatting>
  <conditionalFormatting sqref="AB145:AB147">
    <cfRule type="cellIs" dxfId="395" priority="502" operator="equal">
      <formula>"Muy Alta"</formula>
    </cfRule>
    <cfRule type="cellIs" dxfId="394" priority="503" operator="equal">
      <formula>"Alta"</formula>
    </cfRule>
    <cfRule type="cellIs" dxfId="393" priority="504" operator="equal">
      <formula>"Media"</formula>
    </cfRule>
    <cfRule type="cellIs" dxfId="392" priority="505" operator="equal">
      <formula>"Baja"</formula>
    </cfRule>
    <cfRule type="cellIs" dxfId="391" priority="506" operator="equal">
      <formula>"Muy Baja"</formula>
    </cfRule>
  </conditionalFormatting>
  <conditionalFormatting sqref="AD145:AD147">
    <cfRule type="cellIs" dxfId="390" priority="497" operator="equal">
      <formula>"Catastrófico"</formula>
    </cfRule>
    <cfRule type="cellIs" dxfId="389" priority="498" operator="equal">
      <formula>"Mayor"</formula>
    </cfRule>
    <cfRule type="cellIs" dxfId="388" priority="499" operator="equal">
      <formula>"Moderado"</formula>
    </cfRule>
    <cfRule type="cellIs" dxfId="387" priority="500" operator="equal">
      <formula>"Menor"</formula>
    </cfRule>
    <cfRule type="cellIs" dxfId="386" priority="501" operator="equal">
      <formula>"Leve"</formula>
    </cfRule>
  </conditionalFormatting>
  <conditionalFormatting sqref="AF145:AF147">
    <cfRule type="cellIs" dxfId="385" priority="493" operator="equal">
      <formula>"Extremo"</formula>
    </cfRule>
    <cfRule type="cellIs" dxfId="384" priority="494" operator="equal">
      <formula>"Alto"</formula>
    </cfRule>
    <cfRule type="cellIs" dxfId="383" priority="495" operator="equal">
      <formula>"Moderado"</formula>
    </cfRule>
    <cfRule type="cellIs" dxfId="382" priority="496" operator="equal">
      <formula>"Bajo"</formula>
    </cfRule>
  </conditionalFormatting>
  <conditionalFormatting sqref="N145:N147">
    <cfRule type="containsText" dxfId="381" priority="492" operator="containsText" text="❌">
      <formula>NOT(ISERROR(SEARCH("❌",N145)))</formula>
    </cfRule>
  </conditionalFormatting>
  <conditionalFormatting sqref="AB148">
    <cfRule type="cellIs" dxfId="380" priority="487" operator="equal">
      <formula>"Muy Alta"</formula>
    </cfRule>
    <cfRule type="cellIs" dxfId="379" priority="488" operator="equal">
      <formula>"Alta"</formula>
    </cfRule>
    <cfRule type="cellIs" dxfId="378" priority="489" operator="equal">
      <formula>"Media"</formula>
    </cfRule>
    <cfRule type="cellIs" dxfId="377" priority="490" operator="equal">
      <formula>"Baja"</formula>
    </cfRule>
    <cfRule type="cellIs" dxfId="376" priority="491" operator="equal">
      <formula>"Muy Baja"</formula>
    </cfRule>
  </conditionalFormatting>
  <conditionalFormatting sqref="AD148">
    <cfRule type="cellIs" dxfId="375" priority="482" operator="equal">
      <formula>"Catastrófico"</formula>
    </cfRule>
    <cfRule type="cellIs" dxfId="374" priority="483" operator="equal">
      <formula>"Mayor"</formula>
    </cfRule>
    <cfRule type="cellIs" dxfId="373" priority="484" operator="equal">
      <formula>"Moderado"</formula>
    </cfRule>
    <cfRule type="cellIs" dxfId="372" priority="485" operator="equal">
      <formula>"Menor"</formula>
    </cfRule>
    <cfRule type="cellIs" dxfId="371" priority="486" operator="equal">
      <formula>"Leve"</formula>
    </cfRule>
  </conditionalFormatting>
  <conditionalFormatting sqref="AF148">
    <cfRule type="cellIs" dxfId="370" priority="478" operator="equal">
      <formula>"Extremo"</formula>
    </cfRule>
    <cfRule type="cellIs" dxfId="369" priority="479" operator="equal">
      <formula>"Alto"</formula>
    </cfRule>
    <cfRule type="cellIs" dxfId="368" priority="480" operator="equal">
      <formula>"Moderado"</formula>
    </cfRule>
    <cfRule type="cellIs" dxfId="367" priority="481" operator="equal">
      <formula>"Bajo"</formula>
    </cfRule>
  </conditionalFormatting>
  <conditionalFormatting sqref="AB149">
    <cfRule type="cellIs" dxfId="366" priority="473" operator="equal">
      <formula>"Muy Alta"</formula>
    </cfRule>
    <cfRule type="cellIs" dxfId="365" priority="474" operator="equal">
      <formula>"Alta"</formula>
    </cfRule>
    <cfRule type="cellIs" dxfId="364" priority="475" operator="equal">
      <formula>"Media"</formula>
    </cfRule>
    <cfRule type="cellIs" dxfId="363" priority="476" operator="equal">
      <formula>"Baja"</formula>
    </cfRule>
    <cfRule type="cellIs" dxfId="362" priority="477" operator="equal">
      <formula>"Muy Baja"</formula>
    </cfRule>
  </conditionalFormatting>
  <conditionalFormatting sqref="AD149">
    <cfRule type="cellIs" dxfId="361" priority="468" operator="equal">
      <formula>"Catastrófico"</formula>
    </cfRule>
    <cfRule type="cellIs" dxfId="360" priority="469" operator="equal">
      <formula>"Mayor"</formula>
    </cfRule>
    <cfRule type="cellIs" dxfId="359" priority="470" operator="equal">
      <formula>"Moderado"</formula>
    </cfRule>
    <cfRule type="cellIs" dxfId="358" priority="471" operator="equal">
      <formula>"Menor"</formula>
    </cfRule>
    <cfRule type="cellIs" dxfId="357" priority="472" operator="equal">
      <formula>"Leve"</formula>
    </cfRule>
  </conditionalFormatting>
  <conditionalFormatting sqref="AF149">
    <cfRule type="cellIs" dxfId="356" priority="464" operator="equal">
      <formula>"Extremo"</formula>
    </cfRule>
    <cfRule type="cellIs" dxfId="355" priority="465" operator="equal">
      <formula>"Alto"</formula>
    </cfRule>
    <cfRule type="cellIs" dxfId="354" priority="466" operator="equal">
      <formula>"Moderado"</formula>
    </cfRule>
    <cfRule type="cellIs" dxfId="353" priority="467" operator="equal">
      <formula>"Bajo"</formula>
    </cfRule>
  </conditionalFormatting>
  <conditionalFormatting sqref="AB150">
    <cfRule type="cellIs" dxfId="352" priority="459" operator="equal">
      <formula>"Muy Alta"</formula>
    </cfRule>
    <cfRule type="cellIs" dxfId="351" priority="460" operator="equal">
      <formula>"Alta"</formula>
    </cfRule>
    <cfRule type="cellIs" dxfId="350" priority="461" operator="equal">
      <formula>"Media"</formula>
    </cfRule>
    <cfRule type="cellIs" dxfId="349" priority="462" operator="equal">
      <formula>"Baja"</formula>
    </cfRule>
    <cfRule type="cellIs" dxfId="348" priority="463" operator="equal">
      <formula>"Muy Baja"</formula>
    </cfRule>
  </conditionalFormatting>
  <conditionalFormatting sqref="AD150">
    <cfRule type="cellIs" dxfId="347" priority="454" operator="equal">
      <formula>"Catastrófico"</formula>
    </cfRule>
    <cfRule type="cellIs" dxfId="346" priority="455" operator="equal">
      <formula>"Mayor"</formula>
    </cfRule>
    <cfRule type="cellIs" dxfId="345" priority="456" operator="equal">
      <formula>"Moderado"</formula>
    </cfRule>
    <cfRule type="cellIs" dxfId="344" priority="457" operator="equal">
      <formula>"Menor"</formula>
    </cfRule>
    <cfRule type="cellIs" dxfId="343" priority="458" operator="equal">
      <formula>"Leve"</formula>
    </cfRule>
  </conditionalFormatting>
  <conditionalFormatting sqref="AF150">
    <cfRule type="cellIs" dxfId="342" priority="450" operator="equal">
      <formula>"Extremo"</formula>
    </cfRule>
    <cfRule type="cellIs" dxfId="341" priority="451" operator="equal">
      <formula>"Alto"</formula>
    </cfRule>
    <cfRule type="cellIs" dxfId="340" priority="452" operator="equal">
      <formula>"Moderado"</formula>
    </cfRule>
    <cfRule type="cellIs" dxfId="339" priority="453" operator="equal">
      <formula>"Bajo"</formula>
    </cfRule>
  </conditionalFormatting>
  <conditionalFormatting sqref="K148">
    <cfRule type="cellIs" dxfId="338" priority="445" operator="equal">
      <formula>"Muy Alta"</formula>
    </cfRule>
    <cfRule type="cellIs" dxfId="337" priority="446" operator="equal">
      <formula>"Alta"</formula>
    </cfRule>
    <cfRule type="cellIs" dxfId="336" priority="447" operator="equal">
      <formula>"Media"</formula>
    </cfRule>
    <cfRule type="cellIs" dxfId="335" priority="448" operator="equal">
      <formula>"Baja"</formula>
    </cfRule>
    <cfRule type="cellIs" dxfId="334" priority="449" operator="equal">
      <formula>"Muy Baja"</formula>
    </cfRule>
  </conditionalFormatting>
  <conditionalFormatting sqref="O148">
    <cfRule type="cellIs" dxfId="333" priority="440" operator="equal">
      <formula>"Catastrófico"</formula>
    </cfRule>
    <cfRule type="cellIs" dxfId="332" priority="441" operator="equal">
      <formula>"Mayor"</formula>
    </cfRule>
    <cfRule type="cellIs" dxfId="331" priority="442" operator="equal">
      <formula>"Moderado"</formula>
    </cfRule>
    <cfRule type="cellIs" dxfId="330" priority="443" operator="equal">
      <formula>"Menor"</formula>
    </cfRule>
    <cfRule type="cellIs" dxfId="329" priority="444" operator="equal">
      <formula>"Leve"</formula>
    </cfRule>
  </conditionalFormatting>
  <conditionalFormatting sqref="Q148">
    <cfRule type="cellIs" dxfId="328" priority="436" operator="equal">
      <formula>"Extremo"</formula>
    </cfRule>
    <cfRule type="cellIs" dxfId="327" priority="437" operator="equal">
      <formula>"Alto"</formula>
    </cfRule>
    <cfRule type="cellIs" dxfId="326" priority="438" operator="equal">
      <formula>"Moderado"</formula>
    </cfRule>
    <cfRule type="cellIs" dxfId="325" priority="439" operator="equal">
      <formula>"Bajo"</formula>
    </cfRule>
  </conditionalFormatting>
  <conditionalFormatting sqref="N148:N150">
    <cfRule type="containsText" dxfId="324" priority="435" operator="containsText" text="❌">
      <formula>NOT(ISERROR(SEARCH("❌",N148)))</formula>
    </cfRule>
  </conditionalFormatting>
  <conditionalFormatting sqref="AB148:AB150">
    <cfRule type="cellIs" dxfId="323" priority="430" operator="equal">
      <formula>"Muy Alta"</formula>
    </cfRule>
    <cfRule type="cellIs" dxfId="322" priority="431" operator="equal">
      <formula>"Alta"</formula>
    </cfRule>
    <cfRule type="cellIs" dxfId="321" priority="432" operator="equal">
      <formula>"Media"</formula>
    </cfRule>
    <cfRule type="cellIs" dxfId="320" priority="433" operator="equal">
      <formula>"Baja"</formula>
    </cfRule>
    <cfRule type="cellIs" dxfId="319" priority="434" operator="equal">
      <formula>"Muy Baja"</formula>
    </cfRule>
  </conditionalFormatting>
  <conditionalFormatting sqref="AD148:AD150">
    <cfRule type="cellIs" dxfId="318" priority="425" operator="equal">
      <formula>"Catastrófico"</formula>
    </cfRule>
    <cfRule type="cellIs" dxfId="317" priority="426" operator="equal">
      <formula>"Mayor"</formula>
    </cfRule>
    <cfRule type="cellIs" dxfId="316" priority="427" operator="equal">
      <formula>"Moderado"</formula>
    </cfRule>
    <cfRule type="cellIs" dxfId="315" priority="428" operator="equal">
      <formula>"Menor"</formula>
    </cfRule>
    <cfRule type="cellIs" dxfId="314" priority="429" operator="equal">
      <formula>"Leve"</formula>
    </cfRule>
  </conditionalFormatting>
  <conditionalFormatting sqref="AF148:AF150">
    <cfRule type="cellIs" dxfId="313" priority="421" operator="equal">
      <formula>"Extremo"</formula>
    </cfRule>
    <cfRule type="cellIs" dxfId="312" priority="422" operator="equal">
      <formula>"Alto"</formula>
    </cfRule>
    <cfRule type="cellIs" dxfId="311" priority="423" operator="equal">
      <formula>"Moderado"</formula>
    </cfRule>
    <cfRule type="cellIs" dxfId="310" priority="424" operator="equal">
      <formula>"Bajo"</formula>
    </cfRule>
  </conditionalFormatting>
  <conditionalFormatting sqref="N148:N150">
    <cfRule type="containsText" dxfId="309" priority="420" operator="containsText" text="❌">
      <formula>NOT(ISERROR(SEARCH("❌",N148)))</formula>
    </cfRule>
  </conditionalFormatting>
  <conditionalFormatting sqref="AB151">
    <cfRule type="cellIs" dxfId="308" priority="415" operator="equal">
      <formula>"Muy Alta"</formula>
    </cfRule>
    <cfRule type="cellIs" dxfId="307" priority="416" operator="equal">
      <formula>"Alta"</formula>
    </cfRule>
    <cfRule type="cellIs" dxfId="306" priority="417" operator="equal">
      <formula>"Media"</formula>
    </cfRule>
    <cfRule type="cellIs" dxfId="305" priority="418" operator="equal">
      <formula>"Baja"</formula>
    </cfRule>
    <cfRule type="cellIs" dxfId="304" priority="419" operator="equal">
      <formula>"Muy Baja"</formula>
    </cfRule>
  </conditionalFormatting>
  <conditionalFormatting sqref="AD151">
    <cfRule type="cellIs" dxfId="303" priority="410" operator="equal">
      <formula>"Catastrófico"</formula>
    </cfRule>
    <cfRule type="cellIs" dxfId="302" priority="411" operator="equal">
      <formula>"Mayor"</formula>
    </cfRule>
    <cfRule type="cellIs" dxfId="301" priority="412" operator="equal">
      <formula>"Moderado"</formula>
    </cfRule>
    <cfRule type="cellIs" dxfId="300" priority="413" operator="equal">
      <formula>"Menor"</formula>
    </cfRule>
    <cfRule type="cellIs" dxfId="299" priority="414" operator="equal">
      <formula>"Leve"</formula>
    </cfRule>
  </conditionalFormatting>
  <conditionalFormatting sqref="AF151">
    <cfRule type="cellIs" dxfId="298" priority="406" operator="equal">
      <formula>"Extremo"</formula>
    </cfRule>
    <cfRule type="cellIs" dxfId="297" priority="407" operator="equal">
      <formula>"Alto"</formula>
    </cfRule>
    <cfRule type="cellIs" dxfId="296" priority="408" operator="equal">
      <formula>"Moderado"</formula>
    </cfRule>
    <cfRule type="cellIs" dxfId="295" priority="409" operator="equal">
      <formula>"Bajo"</formula>
    </cfRule>
  </conditionalFormatting>
  <conditionalFormatting sqref="AB152">
    <cfRule type="cellIs" dxfId="294" priority="401" operator="equal">
      <formula>"Muy Alta"</formula>
    </cfRule>
    <cfRule type="cellIs" dxfId="293" priority="402" operator="equal">
      <formula>"Alta"</formula>
    </cfRule>
    <cfRule type="cellIs" dxfId="292" priority="403" operator="equal">
      <formula>"Media"</formula>
    </cfRule>
    <cfRule type="cellIs" dxfId="291" priority="404" operator="equal">
      <formula>"Baja"</formula>
    </cfRule>
    <cfRule type="cellIs" dxfId="290" priority="405" operator="equal">
      <formula>"Muy Baja"</formula>
    </cfRule>
  </conditionalFormatting>
  <conditionalFormatting sqref="AD152">
    <cfRule type="cellIs" dxfId="289" priority="396" operator="equal">
      <formula>"Catastrófico"</formula>
    </cfRule>
    <cfRule type="cellIs" dxfId="288" priority="397" operator="equal">
      <formula>"Mayor"</formula>
    </cfRule>
    <cfRule type="cellIs" dxfId="287" priority="398" operator="equal">
      <formula>"Moderado"</formula>
    </cfRule>
    <cfRule type="cellIs" dxfId="286" priority="399" operator="equal">
      <formula>"Menor"</formula>
    </cfRule>
    <cfRule type="cellIs" dxfId="285" priority="400" operator="equal">
      <formula>"Leve"</formula>
    </cfRule>
  </conditionalFormatting>
  <conditionalFormatting sqref="AF152">
    <cfRule type="cellIs" dxfId="284" priority="392" operator="equal">
      <formula>"Extremo"</formula>
    </cfRule>
    <cfRule type="cellIs" dxfId="283" priority="393" operator="equal">
      <formula>"Alto"</formula>
    </cfRule>
    <cfRule type="cellIs" dxfId="282" priority="394" operator="equal">
      <formula>"Moderado"</formula>
    </cfRule>
    <cfRule type="cellIs" dxfId="281" priority="395" operator="equal">
      <formula>"Bajo"</formula>
    </cfRule>
  </conditionalFormatting>
  <conditionalFormatting sqref="AB153">
    <cfRule type="cellIs" dxfId="280" priority="387" operator="equal">
      <formula>"Muy Alta"</formula>
    </cfRule>
    <cfRule type="cellIs" dxfId="279" priority="388" operator="equal">
      <formula>"Alta"</formula>
    </cfRule>
    <cfRule type="cellIs" dxfId="278" priority="389" operator="equal">
      <formula>"Media"</formula>
    </cfRule>
    <cfRule type="cellIs" dxfId="277" priority="390" operator="equal">
      <formula>"Baja"</formula>
    </cfRule>
    <cfRule type="cellIs" dxfId="276" priority="391" operator="equal">
      <formula>"Muy Baja"</formula>
    </cfRule>
  </conditionalFormatting>
  <conditionalFormatting sqref="AD153">
    <cfRule type="cellIs" dxfId="275" priority="382" operator="equal">
      <formula>"Catastrófico"</formula>
    </cfRule>
    <cfRule type="cellIs" dxfId="274" priority="383" operator="equal">
      <formula>"Mayor"</formula>
    </cfRule>
    <cfRule type="cellIs" dxfId="273" priority="384" operator="equal">
      <formula>"Moderado"</formula>
    </cfRule>
    <cfRule type="cellIs" dxfId="272" priority="385" operator="equal">
      <formula>"Menor"</formula>
    </cfRule>
    <cfRule type="cellIs" dxfId="271" priority="386" operator="equal">
      <formula>"Leve"</formula>
    </cfRule>
  </conditionalFormatting>
  <conditionalFormatting sqref="AF153">
    <cfRule type="cellIs" dxfId="270" priority="378" operator="equal">
      <formula>"Extremo"</formula>
    </cfRule>
    <cfRule type="cellIs" dxfId="269" priority="379" operator="equal">
      <formula>"Alto"</formula>
    </cfRule>
    <cfRule type="cellIs" dxfId="268" priority="380" operator="equal">
      <formula>"Moderado"</formula>
    </cfRule>
    <cfRule type="cellIs" dxfId="267" priority="381" operator="equal">
      <formula>"Bajo"</formula>
    </cfRule>
  </conditionalFormatting>
  <conditionalFormatting sqref="K151">
    <cfRule type="cellIs" dxfId="266" priority="373" operator="equal">
      <formula>"Muy Alta"</formula>
    </cfRule>
    <cfRule type="cellIs" dxfId="265" priority="374" operator="equal">
      <formula>"Alta"</formula>
    </cfRule>
    <cfRule type="cellIs" dxfId="264" priority="375" operator="equal">
      <formula>"Media"</formula>
    </cfRule>
    <cfRule type="cellIs" dxfId="263" priority="376" operator="equal">
      <formula>"Baja"</formula>
    </cfRule>
    <cfRule type="cellIs" dxfId="262" priority="377" operator="equal">
      <formula>"Muy Baja"</formula>
    </cfRule>
  </conditionalFormatting>
  <conditionalFormatting sqref="O151">
    <cfRule type="cellIs" dxfId="261" priority="368" operator="equal">
      <formula>"Catastrófico"</formula>
    </cfRule>
    <cfRule type="cellIs" dxfId="260" priority="369" operator="equal">
      <formula>"Mayor"</formula>
    </cfRule>
    <cfRule type="cellIs" dxfId="259" priority="370" operator="equal">
      <formula>"Moderado"</formula>
    </cfRule>
    <cfRule type="cellIs" dxfId="258" priority="371" operator="equal">
      <formula>"Menor"</formula>
    </cfRule>
    <cfRule type="cellIs" dxfId="257" priority="372" operator="equal">
      <formula>"Leve"</formula>
    </cfRule>
  </conditionalFormatting>
  <conditionalFormatting sqref="Q151">
    <cfRule type="cellIs" dxfId="256" priority="364" operator="equal">
      <formula>"Extremo"</formula>
    </cfRule>
    <cfRule type="cellIs" dxfId="255" priority="365" operator="equal">
      <formula>"Alto"</formula>
    </cfRule>
    <cfRule type="cellIs" dxfId="254" priority="366" operator="equal">
      <formula>"Moderado"</formula>
    </cfRule>
    <cfRule type="cellIs" dxfId="253" priority="367" operator="equal">
      <formula>"Bajo"</formula>
    </cfRule>
  </conditionalFormatting>
  <conditionalFormatting sqref="N151:N153">
    <cfRule type="containsText" dxfId="252" priority="363" operator="containsText" text="❌">
      <formula>NOT(ISERROR(SEARCH("❌",N151)))</formula>
    </cfRule>
  </conditionalFormatting>
  <conditionalFormatting sqref="AB151:AB153">
    <cfRule type="cellIs" dxfId="251" priority="358" operator="equal">
      <formula>"Muy Alta"</formula>
    </cfRule>
    <cfRule type="cellIs" dxfId="250" priority="359" operator="equal">
      <formula>"Alta"</formula>
    </cfRule>
    <cfRule type="cellIs" dxfId="249" priority="360" operator="equal">
      <formula>"Media"</formula>
    </cfRule>
    <cfRule type="cellIs" dxfId="248" priority="361" operator="equal">
      <formula>"Baja"</formula>
    </cfRule>
    <cfRule type="cellIs" dxfId="247" priority="362" operator="equal">
      <formula>"Muy Baja"</formula>
    </cfRule>
  </conditionalFormatting>
  <conditionalFormatting sqref="AD151:AD153">
    <cfRule type="cellIs" dxfId="246" priority="353" operator="equal">
      <formula>"Catastrófico"</formula>
    </cfRule>
    <cfRule type="cellIs" dxfId="245" priority="354" operator="equal">
      <formula>"Mayor"</formula>
    </cfRule>
    <cfRule type="cellIs" dxfId="244" priority="355" operator="equal">
      <formula>"Moderado"</formula>
    </cfRule>
    <cfRule type="cellIs" dxfId="243" priority="356" operator="equal">
      <formula>"Menor"</formula>
    </cfRule>
    <cfRule type="cellIs" dxfId="242" priority="357" operator="equal">
      <formula>"Leve"</formula>
    </cfRule>
  </conditionalFormatting>
  <conditionalFormatting sqref="AF151:AF153">
    <cfRule type="cellIs" dxfId="241" priority="349" operator="equal">
      <formula>"Extremo"</formula>
    </cfRule>
    <cfRule type="cellIs" dxfId="240" priority="350" operator="equal">
      <formula>"Alto"</formula>
    </cfRule>
    <cfRule type="cellIs" dxfId="239" priority="351" operator="equal">
      <formula>"Moderado"</formula>
    </cfRule>
    <cfRule type="cellIs" dxfId="238" priority="352" operator="equal">
      <formula>"Bajo"</formula>
    </cfRule>
  </conditionalFormatting>
  <conditionalFormatting sqref="N151:N153">
    <cfRule type="containsText" dxfId="237" priority="348" operator="containsText" text="❌">
      <formula>NOT(ISERROR(SEARCH("❌",N151)))</formula>
    </cfRule>
  </conditionalFormatting>
  <conditionalFormatting sqref="AB17">
    <cfRule type="cellIs" dxfId="236" priority="343" operator="equal">
      <formula>"Muy Alta"</formula>
    </cfRule>
    <cfRule type="cellIs" dxfId="235" priority="344" operator="equal">
      <formula>"Alta"</formula>
    </cfRule>
    <cfRule type="cellIs" dxfId="234" priority="345" operator="equal">
      <formula>"Media"</formula>
    </cfRule>
    <cfRule type="cellIs" dxfId="233" priority="346" operator="equal">
      <formula>"Baja"</formula>
    </cfRule>
    <cfRule type="cellIs" dxfId="232" priority="347" operator="equal">
      <formula>"Muy Baja"</formula>
    </cfRule>
  </conditionalFormatting>
  <conditionalFormatting sqref="AD17">
    <cfRule type="cellIs" dxfId="231" priority="338" operator="equal">
      <formula>"Catastrófico"</formula>
    </cfRule>
    <cfRule type="cellIs" dxfId="230" priority="339" operator="equal">
      <formula>"Mayor"</formula>
    </cfRule>
    <cfRule type="cellIs" dxfId="229" priority="340" operator="equal">
      <formula>"Moderado"</formula>
    </cfRule>
    <cfRule type="cellIs" dxfId="228" priority="341" operator="equal">
      <formula>"Menor"</formula>
    </cfRule>
    <cfRule type="cellIs" dxfId="227" priority="342" operator="equal">
      <formula>"Leve"</formula>
    </cfRule>
  </conditionalFormatting>
  <conditionalFormatting sqref="AF17">
    <cfRule type="cellIs" dxfId="226" priority="334" operator="equal">
      <formula>"Extremo"</formula>
    </cfRule>
    <cfRule type="cellIs" dxfId="225" priority="335" operator="equal">
      <formula>"Alto"</formula>
    </cfRule>
    <cfRule type="cellIs" dxfId="224" priority="336" operator="equal">
      <formula>"Moderado"</formula>
    </cfRule>
    <cfRule type="cellIs" dxfId="223" priority="337" operator="equal">
      <formula>"Bajo"</formula>
    </cfRule>
  </conditionalFormatting>
  <conditionalFormatting sqref="AB18">
    <cfRule type="cellIs" dxfId="222" priority="329" operator="equal">
      <formula>"Muy Alta"</formula>
    </cfRule>
    <cfRule type="cellIs" dxfId="221" priority="330" operator="equal">
      <formula>"Alta"</formula>
    </cfRule>
    <cfRule type="cellIs" dxfId="220" priority="331" operator="equal">
      <formula>"Media"</formula>
    </cfRule>
    <cfRule type="cellIs" dxfId="219" priority="332" operator="equal">
      <formula>"Baja"</formula>
    </cfRule>
    <cfRule type="cellIs" dxfId="218" priority="333" operator="equal">
      <formula>"Muy Baja"</formula>
    </cfRule>
  </conditionalFormatting>
  <conditionalFormatting sqref="AD18">
    <cfRule type="cellIs" dxfId="217" priority="324" operator="equal">
      <formula>"Catastrófico"</formula>
    </cfRule>
    <cfRule type="cellIs" dxfId="216" priority="325" operator="equal">
      <formula>"Mayor"</formula>
    </cfRule>
    <cfRule type="cellIs" dxfId="215" priority="326" operator="equal">
      <formula>"Moderado"</formula>
    </cfRule>
    <cfRule type="cellIs" dxfId="214" priority="327" operator="equal">
      <formula>"Menor"</formula>
    </cfRule>
    <cfRule type="cellIs" dxfId="213" priority="328" operator="equal">
      <formula>"Leve"</formula>
    </cfRule>
  </conditionalFormatting>
  <conditionalFormatting sqref="AF18">
    <cfRule type="cellIs" dxfId="212" priority="320" operator="equal">
      <formula>"Extremo"</formula>
    </cfRule>
    <cfRule type="cellIs" dxfId="211" priority="321" operator="equal">
      <formula>"Alto"</formula>
    </cfRule>
    <cfRule type="cellIs" dxfId="210" priority="322" operator="equal">
      <formula>"Moderado"</formula>
    </cfRule>
    <cfRule type="cellIs" dxfId="209" priority="323" operator="equal">
      <formula>"Bajo"</formula>
    </cfRule>
  </conditionalFormatting>
  <conditionalFormatting sqref="AB20">
    <cfRule type="cellIs" dxfId="208" priority="315" operator="equal">
      <formula>"Muy Alta"</formula>
    </cfRule>
    <cfRule type="cellIs" dxfId="207" priority="316" operator="equal">
      <formula>"Alta"</formula>
    </cfRule>
    <cfRule type="cellIs" dxfId="206" priority="317" operator="equal">
      <formula>"Media"</formula>
    </cfRule>
    <cfRule type="cellIs" dxfId="205" priority="318" operator="equal">
      <formula>"Baja"</formula>
    </cfRule>
    <cfRule type="cellIs" dxfId="204" priority="319" operator="equal">
      <formula>"Muy Baja"</formula>
    </cfRule>
  </conditionalFormatting>
  <conditionalFormatting sqref="AD20">
    <cfRule type="cellIs" dxfId="203" priority="310" operator="equal">
      <formula>"Catastrófico"</formula>
    </cfRule>
    <cfRule type="cellIs" dxfId="202" priority="311" operator="equal">
      <formula>"Mayor"</formula>
    </cfRule>
    <cfRule type="cellIs" dxfId="201" priority="312" operator="equal">
      <formula>"Moderado"</formula>
    </cfRule>
    <cfRule type="cellIs" dxfId="200" priority="313" operator="equal">
      <formula>"Menor"</formula>
    </cfRule>
    <cfRule type="cellIs" dxfId="199" priority="314" operator="equal">
      <formula>"Leve"</formula>
    </cfRule>
  </conditionalFormatting>
  <conditionalFormatting sqref="AF20">
    <cfRule type="cellIs" dxfId="198" priority="306" operator="equal">
      <formula>"Extremo"</formula>
    </cfRule>
    <cfRule type="cellIs" dxfId="197" priority="307" operator="equal">
      <formula>"Alto"</formula>
    </cfRule>
    <cfRule type="cellIs" dxfId="196" priority="308" operator="equal">
      <formula>"Moderado"</formula>
    </cfRule>
    <cfRule type="cellIs" dxfId="195" priority="309" operator="equal">
      <formula>"Bajo"</formula>
    </cfRule>
  </conditionalFormatting>
  <conditionalFormatting sqref="AB21">
    <cfRule type="cellIs" dxfId="194" priority="301" operator="equal">
      <formula>"Muy Alta"</formula>
    </cfRule>
    <cfRule type="cellIs" dxfId="193" priority="302" operator="equal">
      <formula>"Alta"</formula>
    </cfRule>
    <cfRule type="cellIs" dxfId="192" priority="303" operator="equal">
      <formula>"Media"</formula>
    </cfRule>
    <cfRule type="cellIs" dxfId="191" priority="304" operator="equal">
      <formula>"Baja"</formula>
    </cfRule>
    <cfRule type="cellIs" dxfId="190" priority="305" operator="equal">
      <formula>"Muy Baja"</formula>
    </cfRule>
  </conditionalFormatting>
  <conditionalFormatting sqref="AD21">
    <cfRule type="cellIs" dxfId="189" priority="296" operator="equal">
      <formula>"Catastrófico"</formula>
    </cfRule>
    <cfRule type="cellIs" dxfId="188" priority="297" operator="equal">
      <formula>"Mayor"</formula>
    </cfRule>
    <cfRule type="cellIs" dxfId="187" priority="298" operator="equal">
      <formula>"Moderado"</formula>
    </cfRule>
    <cfRule type="cellIs" dxfId="186" priority="299" operator="equal">
      <formula>"Menor"</formula>
    </cfRule>
    <cfRule type="cellIs" dxfId="185" priority="300" operator="equal">
      <formula>"Leve"</formula>
    </cfRule>
  </conditionalFormatting>
  <conditionalFormatting sqref="AF21">
    <cfRule type="cellIs" dxfId="184" priority="292" operator="equal">
      <formula>"Extremo"</formula>
    </cfRule>
    <cfRule type="cellIs" dxfId="183" priority="293" operator="equal">
      <formula>"Alto"</formula>
    </cfRule>
    <cfRule type="cellIs" dxfId="182" priority="294" operator="equal">
      <formula>"Moderado"</formula>
    </cfRule>
    <cfRule type="cellIs" dxfId="181" priority="295" operator="equal">
      <formula>"Bajo"</formula>
    </cfRule>
  </conditionalFormatting>
  <conditionalFormatting sqref="O7">
    <cfRule type="cellIs" dxfId="180" priority="287" operator="equal">
      <formula>"Catastrófico"</formula>
    </cfRule>
    <cfRule type="cellIs" dxfId="179" priority="288" operator="equal">
      <formula>"Mayor"</formula>
    </cfRule>
    <cfRule type="cellIs" dxfId="178" priority="289" operator="equal">
      <formula>"Moderado"</formula>
    </cfRule>
    <cfRule type="cellIs" dxfId="177" priority="290" operator="equal">
      <formula>"Menor"</formula>
    </cfRule>
    <cfRule type="cellIs" dxfId="176" priority="291" operator="equal">
      <formula>"Leve"</formula>
    </cfRule>
  </conditionalFormatting>
  <conditionalFormatting sqref="AB85">
    <cfRule type="cellIs" dxfId="175" priority="210" operator="equal">
      <formula>"Muy Alta"</formula>
    </cfRule>
    <cfRule type="cellIs" dxfId="174" priority="211" operator="equal">
      <formula>"Alta"</formula>
    </cfRule>
    <cfRule type="cellIs" dxfId="173" priority="212" operator="equal">
      <formula>"Media"</formula>
    </cfRule>
    <cfRule type="cellIs" dxfId="172" priority="213" operator="equal">
      <formula>"Baja"</formula>
    </cfRule>
    <cfRule type="cellIs" dxfId="171" priority="214" operator="equal">
      <formula>"Muy Baja"</formula>
    </cfRule>
  </conditionalFormatting>
  <conditionalFormatting sqref="AD85">
    <cfRule type="cellIs" dxfId="170" priority="205" operator="equal">
      <formula>"Catastrófico"</formula>
    </cfRule>
    <cfRule type="cellIs" dxfId="169" priority="206" operator="equal">
      <formula>"Mayor"</formula>
    </cfRule>
    <cfRule type="cellIs" dxfId="168" priority="207" operator="equal">
      <formula>"Moderado"</formula>
    </cfRule>
    <cfRule type="cellIs" dxfId="167" priority="208" operator="equal">
      <formula>"Menor"</formula>
    </cfRule>
    <cfRule type="cellIs" dxfId="166" priority="209" operator="equal">
      <formula>"Leve"</formula>
    </cfRule>
  </conditionalFormatting>
  <conditionalFormatting sqref="AF85">
    <cfRule type="cellIs" dxfId="165" priority="201" operator="equal">
      <formula>"Extremo"</formula>
    </cfRule>
    <cfRule type="cellIs" dxfId="164" priority="202" operator="equal">
      <formula>"Alto"</formula>
    </cfRule>
    <cfRule type="cellIs" dxfId="163" priority="203" operator="equal">
      <formula>"Moderado"</formula>
    </cfRule>
    <cfRule type="cellIs" dxfId="162" priority="204" operator="equal">
      <formula>"Bajo"</formula>
    </cfRule>
  </conditionalFormatting>
  <conditionalFormatting sqref="K85">
    <cfRule type="cellIs" dxfId="161" priority="168" operator="equal">
      <formula>"Muy Alta"</formula>
    </cfRule>
    <cfRule type="cellIs" dxfId="160" priority="169" operator="equal">
      <formula>"Alta"</formula>
    </cfRule>
    <cfRule type="cellIs" dxfId="159" priority="170" operator="equal">
      <formula>"Media"</formula>
    </cfRule>
    <cfRule type="cellIs" dxfId="158" priority="171" operator="equal">
      <formula>"Baja"</formula>
    </cfRule>
    <cfRule type="cellIs" dxfId="157" priority="172" operator="equal">
      <formula>"Muy Baja"</formula>
    </cfRule>
  </conditionalFormatting>
  <conditionalFormatting sqref="AB86">
    <cfRule type="cellIs" dxfId="156" priority="196" operator="equal">
      <formula>"Muy Alta"</formula>
    </cfRule>
    <cfRule type="cellIs" dxfId="155" priority="197" operator="equal">
      <formula>"Alta"</formula>
    </cfRule>
    <cfRule type="cellIs" dxfId="154" priority="198" operator="equal">
      <formula>"Media"</formula>
    </cfRule>
    <cfRule type="cellIs" dxfId="153" priority="199" operator="equal">
      <formula>"Baja"</formula>
    </cfRule>
    <cfRule type="cellIs" dxfId="152" priority="200" operator="equal">
      <formula>"Muy Baja"</formula>
    </cfRule>
  </conditionalFormatting>
  <conditionalFormatting sqref="AD86">
    <cfRule type="cellIs" dxfId="151" priority="191" operator="equal">
      <formula>"Catastrófico"</formula>
    </cfRule>
    <cfRule type="cellIs" dxfId="150" priority="192" operator="equal">
      <formula>"Mayor"</formula>
    </cfRule>
    <cfRule type="cellIs" dxfId="149" priority="193" operator="equal">
      <formula>"Moderado"</formula>
    </cfRule>
    <cfRule type="cellIs" dxfId="148" priority="194" operator="equal">
      <formula>"Menor"</formula>
    </cfRule>
    <cfRule type="cellIs" dxfId="147" priority="195" operator="equal">
      <formula>"Leve"</formula>
    </cfRule>
  </conditionalFormatting>
  <conditionalFormatting sqref="AF86">
    <cfRule type="cellIs" dxfId="146" priority="187" operator="equal">
      <formula>"Extremo"</formula>
    </cfRule>
    <cfRule type="cellIs" dxfId="145" priority="188" operator="equal">
      <formula>"Alto"</formula>
    </cfRule>
    <cfRule type="cellIs" dxfId="144" priority="189" operator="equal">
      <formula>"Moderado"</formula>
    </cfRule>
    <cfRule type="cellIs" dxfId="143" priority="190" operator="equal">
      <formula>"Bajo"</formula>
    </cfRule>
  </conditionalFormatting>
  <conditionalFormatting sqref="AB87">
    <cfRule type="cellIs" dxfId="142" priority="182" operator="equal">
      <formula>"Muy Alta"</formula>
    </cfRule>
    <cfRule type="cellIs" dxfId="141" priority="183" operator="equal">
      <formula>"Alta"</formula>
    </cfRule>
    <cfRule type="cellIs" dxfId="140" priority="184" operator="equal">
      <formula>"Media"</formula>
    </cfRule>
    <cfRule type="cellIs" dxfId="139" priority="185" operator="equal">
      <formula>"Baja"</formula>
    </cfRule>
    <cfRule type="cellIs" dxfId="138" priority="186" operator="equal">
      <formula>"Muy Baja"</formula>
    </cfRule>
  </conditionalFormatting>
  <conditionalFormatting sqref="AD87">
    <cfRule type="cellIs" dxfId="137" priority="177" operator="equal">
      <formula>"Catastrófico"</formula>
    </cfRule>
    <cfRule type="cellIs" dxfId="136" priority="178" operator="equal">
      <formula>"Mayor"</formula>
    </cfRule>
    <cfRule type="cellIs" dxfId="135" priority="179" operator="equal">
      <formula>"Moderado"</formula>
    </cfRule>
    <cfRule type="cellIs" dxfId="134" priority="180" operator="equal">
      <formula>"Menor"</formula>
    </cfRule>
    <cfRule type="cellIs" dxfId="133" priority="181" operator="equal">
      <formula>"Leve"</formula>
    </cfRule>
  </conditionalFormatting>
  <conditionalFormatting sqref="AF87">
    <cfRule type="cellIs" dxfId="132" priority="173" operator="equal">
      <formula>"Extremo"</formula>
    </cfRule>
    <cfRule type="cellIs" dxfId="131" priority="174" operator="equal">
      <formula>"Alto"</formula>
    </cfRule>
    <cfRule type="cellIs" dxfId="130" priority="175" operator="equal">
      <formula>"Moderado"</formula>
    </cfRule>
    <cfRule type="cellIs" dxfId="129" priority="176" operator="equal">
      <formula>"Bajo"</formula>
    </cfRule>
  </conditionalFormatting>
  <conditionalFormatting sqref="O85">
    <cfRule type="cellIs" dxfId="128" priority="163" operator="equal">
      <formula>"Catastrófico"</formula>
    </cfRule>
    <cfRule type="cellIs" dxfId="127" priority="164" operator="equal">
      <formula>"Mayor"</formula>
    </cfRule>
    <cfRule type="cellIs" dxfId="126" priority="165" operator="equal">
      <formula>"Moderado"</formula>
    </cfRule>
    <cfRule type="cellIs" dxfId="125" priority="166" operator="equal">
      <formula>"Menor"</formula>
    </cfRule>
    <cfRule type="cellIs" dxfId="124" priority="167" operator="equal">
      <formula>"Leve"</formula>
    </cfRule>
  </conditionalFormatting>
  <conditionalFormatting sqref="Q85">
    <cfRule type="cellIs" dxfId="123" priority="159" operator="equal">
      <formula>"Extremo"</formula>
    </cfRule>
    <cfRule type="cellIs" dxfId="122" priority="160" operator="equal">
      <formula>"Alto"</formula>
    </cfRule>
    <cfRule type="cellIs" dxfId="121" priority="161" operator="equal">
      <formula>"Moderado"</formula>
    </cfRule>
    <cfRule type="cellIs" dxfId="120" priority="162" operator="equal">
      <formula>"Bajo"</formula>
    </cfRule>
  </conditionalFormatting>
  <conditionalFormatting sqref="N85:N87">
    <cfRule type="containsText" dxfId="119" priority="158" operator="containsText" text="❌">
      <formula>NOT(ISERROR(SEARCH("❌",N85)))</formula>
    </cfRule>
  </conditionalFormatting>
  <conditionalFormatting sqref="AF99">
    <cfRule type="cellIs" dxfId="118" priority="102" operator="equal">
      <formula>"Extremo"</formula>
    </cfRule>
    <cfRule type="cellIs" dxfId="117" priority="103" operator="equal">
      <formula>"Alto"</formula>
    </cfRule>
    <cfRule type="cellIs" dxfId="116" priority="104" operator="equal">
      <formula>"Moderado"</formula>
    </cfRule>
    <cfRule type="cellIs" dxfId="115" priority="105" operator="equal">
      <formula>"Bajo"</formula>
    </cfRule>
  </conditionalFormatting>
  <conditionalFormatting sqref="AB99">
    <cfRule type="cellIs" dxfId="114" priority="111" operator="equal">
      <formula>"Muy Alta"</formula>
    </cfRule>
    <cfRule type="cellIs" dxfId="113" priority="112" operator="equal">
      <formula>"Alta"</formula>
    </cfRule>
    <cfRule type="cellIs" dxfId="112" priority="113" operator="equal">
      <formula>"Media"</formula>
    </cfRule>
    <cfRule type="cellIs" dxfId="111" priority="114" operator="equal">
      <formula>"Baja"</formula>
    </cfRule>
    <cfRule type="cellIs" dxfId="110" priority="115" operator="equal">
      <formula>"Muy Baja"</formula>
    </cfRule>
  </conditionalFormatting>
  <conditionalFormatting sqref="AD99">
    <cfRule type="cellIs" dxfId="109" priority="106" operator="equal">
      <formula>"Catastrófico"</formula>
    </cfRule>
    <cfRule type="cellIs" dxfId="108" priority="107" operator="equal">
      <formula>"Mayor"</formula>
    </cfRule>
    <cfRule type="cellIs" dxfId="107" priority="108" operator="equal">
      <formula>"Moderado"</formula>
    </cfRule>
    <cfRule type="cellIs" dxfId="106" priority="109" operator="equal">
      <formula>"Menor"</formula>
    </cfRule>
    <cfRule type="cellIs" dxfId="105" priority="110" operator="equal">
      <formula>"Leve"</formula>
    </cfRule>
  </conditionalFormatting>
  <conditionalFormatting sqref="AB100:AB102">
    <cfRule type="cellIs" dxfId="104" priority="97" operator="equal">
      <formula>"Muy Alta"</formula>
    </cfRule>
    <cfRule type="cellIs" dxfId="103" priority="98" operator="equal">
      <formula>"Alta"</formula>
    </cfRule>
    <cfRule type="cellIs" dxfId="102" priority="99" operator="equal">
      <formula>"Media"</formula>
    </cfRule>
    <cfRule type="cellIs" dxfId="101" priority="100" operator="equal">
      <formula>"Baja"</formula>
    </cfRule>
    <cfRule type="cellIs" dxfId="100" priority="101" operator="equal">
      <formula>"Muy Baja"</formula>
    </cfRule>
  </conditionalFormatting>
  <conditionalFormatting sqref="AD100:AD102">
    <cfRule type="cellIs" dxfId="99" priority="92" operator="equal">
      <formula>"Catastrófico"</formula>
    </cfRule>
    <cfRule type="cellIs" dxfId="98" priority="93" operator="equal">
      <formula>"Mayor"</formula>
    </cfRule>
    <cfRule type="cellIs" dxfId="97" priority="94" operator="equal">
      <formula>"Moderado"</formula>
    </cfRule>
    <cfRule type="cellIs" dxfId="96" priority="95" operator="equal">
      <formula>"Menor"</formula>
    </cfRule>
    <cfRule type="cellIs" dxfId="95" priority="96" operator="equal">
      <formula>"Leve"</formula>
    </cfRule>
  </conditionalFormatting>
  <conditionalFormatting sqref="AF100:AF102">
    <cfRule type="cellIs" dxfId="94" priority="88" operator="equal">
      <formula>"Extremo"</formula>
    </cfRule>
    <cfRule type="cellIs" dxfId="93" priority="89" operator="equal">
      <formula>"Alto"</formula>
    </cfRule>
    <cfRule type="cellIs" dxfId="92" priority="90" operator="equal">
      <formula>"Moderado"</formula>
    </cfRule>
    <cfRule type="cellIs" dxfId="91" priority="91" operator="equal">
      <formula>"Bajo"</formula>
    </cfRule>
  </conditionalFormatting>
  <conditionalFormatting sqref="K100">
    <cfRule type="cellIs" dxfId="90" priority="83" operator="equal">
      <formula>"Muy Alta"</formula>
    </cfRule>
    <cfRule type="cellIs" dxfId="89" priority="84" operator="equal">
      <formula>"Alta"</formula>
    </cfRule>
    <cfRule type="cellIs" dxfId="88" priority="85" operator="equal">
      <formula>"Media"</formula>
    </cfRule>
    <cfRule type="cellIs" dxfId="87" priority="86" operator="equal">
      <formula>"Baja"</formula>
    </cfRule>
    <cfRule type="cellIs" dxfId="86" priority="87" operator="equal">
      <formula>"Muy Baja"</formula>
    </cfRule>
  </conditionalFormatting>
  <conditionalFormatting sqref="O100">
    <cfRule type="cellIs" dxfId="85" priority="78" operator="equal">
      <formula>"Catastrófico"</formula>
    </cfRule>
    <cfRule type="cellIs" dxfId="84" priority="79" operator="equal">
      <formula>"Mayor"</formula>
    </cfRule>
    <cfRule type="cellIs" dxfId="83" priority="80" operator="equal">
      <formula>"Moderado"</formula>
    </cfRule>
    <cfRule type="cellIs" dxfId="82" priority="81" operator="equal">
      <formula>"Menor"</formula>
    </cfRule>
    <cfRule type="cellIs" dxfId="81" priority="82" operator="equal">
      <formula>"Leve"</formula>
    </cfRule>
  </conditionalFormatting>
  <conditionalFormatting sqref="Q100">
    <cfRule type="cellIs" dxfId="80" priority="74" operator="equal">
      <formula>"Extremo"</formula>
    </cfRule>
    <cfRule type="cellIs" dxfId="79" priority="75" operator="equal">
      <formula>"Alto"</formula>
    </cfRule>
    <cfRule type="cellIs" dxfId="78" priority="76" operator="equal">
      <formula>"Moderado"</formula>
    </cfRule>
    <cfRule type="cellIs" dxfId="77" priority="77" operator="equal">
      <formula>"Bajo"</formula>
    </cfRule>
  </conditionalFormatting>
  <conditionalFormatting sqref="N100">
    <cfRule type="containsText" dxfId="76" priority="73" operator="containsText" text="❌">
      <formula>NOT(ISERROR(SEARCH("❌",N100)))</formula>
    </cfRule>
  </conditionalFormatting>
  <conditionalFormatting sqref="AB100:AB102">
    <cfRule type="cellIs" dxfId="75" priority="68" operator="equal">
      <formula>"Muy Alta"</formula>
    </cfRule>
    <cfRule type="cellIs" dxfId="74" priority="69" operator="equal">
      <formula>"Alta"</formula>
    </cfRule>
    <cfRule type="cellIs" dxfId="73" priority="70" operator="equal">
      <formula>"Media"</formula>
    </cfRule>
    <cfRule type="cellIs" dxfId="72" priority="71" operator="equal">
      <formula>"Baja"</formula>
    </cfRule>
    <cfRule type="cellIs" dxfId="71" priority="72" operator="equal">
      <formula>"Muy Baja"</formula>
    </cfRule>
  </conditionalFormatting>
  <conditionalFormatting sqref="AD100:AD102">
    <cfRule type="cellIs" dxfId="70" priority="63" operator="equal">
      <formula>"Catastrófico"</formula>
    </cfRule>
    <cfRule type="cellIs" dxfId="69" priority="64" operator="equal">
      <formula>"Mayor"</formula>
    </cfRule>
    <cfRule type="cellIs" dxfId="68" priority="65" operator="equal">
      <formula>"Moderado"</formula>
    </cfRule>
    <cfRule type="cellIs" dxfId="67" priority="66" operator="equal">
      <formula>"Menor"</formula>
    </cfRule>
    <cfRule type="cellIs" dxfId="66" priority="67" operator="equal">
      <formula>"Leve"</formula>
    </cfRule>
  </conditionalFormatting>
  <conditionalFormatting sqref="AF100:AF102">
    <cfRule type="cellIs" dxfId="65" priority="59" operator="equal">
      <formula>"Extremo"</formula>
    </cfRule>
    <cfRule type="cellIs" dxfId="64" priority="60" operator="equal">
      <formula>"Alto"</formula>
    </cfRule>
    <cfRule type="cellIs" dxfId="63" priority="61" operator="equal">
      <formula>"Moderado"</formula>
    </cfRule>
    <cfRule type="cellIs" dxfId="62" priority="62" operator="equal">
      <formula>"Bajo"</formula>
    </cfRule>
  </conditionalFormatting>
  <conditionalFormatting sqref="N100">
    <cfRule type="containsText" dxfId="61" priority="58" operator="containsText" text="❌">
      <formula>NOT(ISERROR(SEARCH("❌",N100)))</formula>
    </cfRule>
  </conditionalFormatting>
  <conditionalFormatting sqref="AB70">
    <cfRule type="cellIs" dxfId="60" priority="53" operator="equal">
      <formula>"Muy Alta"</formula>
    </cfRule>
    <cfRule type="cellIs" dxfId="59" priority="54" operator="equal">
      <formula>"Alta"</formula>
    </cfRule>
    <cfRule type="cellIs" dxfId="58" priority="55" operator="equal">
      <formula>"Media"</formula>
    </cfRule>
    <cfRule type="cellIs" dxfId="57" priority="56" operator="equal">
      <formula>"Baja"</formula>
    </cfRule>
    <cfRule type="cellIs" dxfId="56" priority="57" operator="equal">
      <formula>"Muy Baja"</formula>
    </cfRule>
  </conditionalFormatting>
  <conditionalFormatting sqref="AD70">
    <cfRule type="cellIs" dxfId="55" priority="48" operator="equal">
      <formula>"Catastrófico"</formula>
    </cfRule>
    <cfRule type="cellIs" dxfId="54" priority="49" operator="equal">
      <formula>"Mayor"</formula>
    </cfRule>
    <cfRule type="cellIs" dxfId="53" priority="50" operator="equal">
      <formula>"Moderado"</formula>
    </cfRule>
    <cfRule type="cellIs" dxfId="52" priority="51" operator="equal">
      <formula>"Menor"</formula>
    </cfRule>
    <cfRule type="cellIs" dxfId="51" priority="52" operator="equal">
      <formula>"Leve"</formula>
    </cfRule>
  </conditionalFormatting>
  <conditionalFormatting sqref="AF70">
    <cfRule type="cellIs" dxfId="50" priority="44" operator="equal">
      <formula>"Extremo"</formula>
    </cfRule>
    <cfRule type="cellIs" dxfId="49" priority="45" operator="equal">
      <formula>"Alto"</formula>
    </cfRule>
    <cfRule type="cellIs" dxfId="48" priority="46" operator="equal">
      <formula>"Moderado"</formula>
    </cfRule>
    <cfRule type="cellIs" dxfId="47" priority="47" operator="equal">
      <formula>"Bajo"</formula>
    </cfRule>
  </conditionalFormatting>
  <conditionalFormatting sqref="AB71">
    <cfRule type="cellIs" dxfId="46" priority="39" operator="equal">
      <formula>"Muy Alta"</formula>
    </cfRule>
    <cfRule type="cellIs" dxfId="45" priority="40" operator="equal">
      <formula>"Alta"</formula>
    </cfRule>
    <cfRule type="cellIs" dxfId="44" priority="41" operator="equal">
      <formula>"Media"</formula>
    </cfRule>
    <cfRule type="cellIs" dxfId="43" priority="42" operator="equal">
      <formula>"Baja"</formula>
    </cfRule>
    <cfRule type="cellIs" dxfId="42" priority="43" operator="equal">
      <formula>"Muy Baja"</formula>
    </cfRule>
  </conditionalFormatting>
  <conditionalFormatting sqref="AD71">
    <cfRule type="cellIs" dxfId="41" priority="34" operator="equal">
      <formula>"Catastrófico"</formula>
    </cfRule>
    <cfRule type="cellIs" dxfId="40" priority="35" operator="equal">
      <formula>"Mayor"</formula>
    </cfRule>
    <cfRule type="cellIs" dxfId="39" priority="36" operator="equal">
      <formula>"Moderado"</formula>
    </cfRule>
    <cfRule type="cellIs" dxfId="38" priority="37" operator="equal">
      <formula>"Menor"</formula>
    </cfRule>
    <cfRule type="cellIs" dxfId="37" priority="38" operator="equal">
      <formula>"Leve"</formula>
    </cfRule>
  </conditionalFormatting>
  <conditionalFormatting sqref="AF71">
    <cfRule type="cellIs" dxfId="36" priority="30" operator="equal">
      <formula>"Extremo"</formula>
    </cfRule>
    <cfRule type="cellIs" dxfId="35" priority="31" operator="equal">
      <formula>"Alto"</formula>
    </cfRule>
    <cfRule type="cellIs" dxfId="34" priority="32" operator="equal">
      <formula>"Moderado"</formula>
    </cfRule>
    <cfRule type="cellIs" dxfId="33" priority="33" operator="equal">
      <formula>"Bajo"</formula>
    </cfRule>
  </conditionalFormatting>
  <conditionalFormatting sqref="AB72">
    <cfRule type="cellIs" dxfId="32" priority="25" operator="equal">
      <formula>"Muy Alta"</formula>
    </cfRule>
    <cfRule type="cellIs" dxfId="31" priority="26" operator="equal">
      <formula>"Alta"</formula>
    </cfRule>
    <cfRule type="cellIs" dxfId="30" priority="27" operator="equal">
      <formula>"Media"</formula>
    </cfRule>
    <cfRule type="cellIs" dxfId="29" priority="28" operator="equal">
      <formula>"Baja"</formula>
    </cfRule>
    <cfRule type="cellIs" dxfId="28" priority="29" operator="equal">
      <formula>"Muy Baja"</formula>
    </cfRule>
  </conditionalFormatting>
  <conditionalFormatting sqref="AD72">
    <cfRule type="cellIs" dxfId="27" priority="20" operator="equal">
      <formula>"Catastrófico"</formula>
    </cfRule>
    <cfRule type="cellIs" dxfId="26" priority="21" operator="equal">
      <formula>"Mayor"</formula>
    </cfRule>
    <cfRule type="cellIs" dxfId="25" priority="22" operator="equal">
      <formula>"Moderado"</formula>
    </cfRule>
    <cfRule type="cellIs" dxfId="24" priority="23" operator="equal">
      <formula>"Menor"</formula>
    </cfRule>
    <cfRule type="cellIs" dxfId="23" priority="24" operator="equal">
      <formula>"Leve"</formula>
    </cfRule>
  </conditionalFormatting>
  <conditionalFormatting sqref="AF72">
    <cfRule type="cellIs" dxfId="22" priority="16" operator="equal">
      <formula>"Extremo"</formula>
    </cfRule>
    <cfRule type="cellIs" dxfId="21" priority="17" operator="equal">
      <formula>"Alto"</formula>
    </cfRule>
    <cfRule type="cellIs" dxfId="20" priority="18" operator="equal">
      <formula>"Moderado"</formula>
    </cfRule>
    <cfRule type="cellIs" dxfId="19" priority="19" operator="equal">
      <formula>"Bajo"</formula>
    </cfRule>
  </conditionalFormatting>
  <conditionalFormatting sqref="K70">
    <cfRule type="cellIs" dxfId="18" priority="11" operator="equal">
      <formula>"Muy Alta"</formula>
    </cfRule>
    <cfRule type="cellIs" dxfId="17" priority="12" operator="equal">
      <formula>"Alta"</formula>
    </cfRule>
    <cfRule type="cellIs" dxfId="16" priority="13" operator="equal">
      <formula>"Media"</formula>
    </cfRule>
    <cfRule type="cellIs" dxfId="15" priority="14" operator="equal">
      <formula>"Baja"</formula>
    </cfRule>
    <cfRule type="cellIs" dxfId="14" priority="15" operator="equal">
      <formula>"Muy Baja"</formula>
    </cfRule>
  </conditionalFormatting>
  <conditionalFormatting sqref="O70">
    <cfRule type="cellIs" dxfId="13" priority="6" operator="equal">
      <formula>"Catastrófico"</formula>
    </cfRule>
    <cfRule type="cellIs" dxfId="12" priority="7" operator="equal">
      <formula>"Mayor"</formula>
    </cfRule>
    <cfRule type="cellIs" dxfId="11" priority="8" operator="equal">
      <formula>"Moderado"</formula>
    </cfRule>
    <cfRule type="cellIs" dxfId="10" priority="9" operator="equal">
      <formula>"Menor"</formula>
    </cfRule>
    <cfRule type="cellIs" dxfId="9" priority="10" operator="equal">
      <formula>"Leve"</formula>
    </cfRule>
  </conditionalFormatting>
  <conditionalFormatting sqref="Q70">
    <cfRule type="cellIs" dxfId="8" priority="2" operator="equal">
      <formula>"Extremo"</formula>
    </cfRule>
    <cfRule type="cellIs" dxfId="7" priority="3" operator="equal">
      <formula>"Alto"</formula>
    </cfRule>
    <cfRule type="cellIs" dxfId="6" priority="4" operator="equal">
      <formula>"Moderado"</formula>
    </cfRule>
    <cfRule type="cellIs" dxfId="5" priority="5" operator="equal">
      <formula>"Bajo"</formula>
    </cfRule>
  </conditionalFormatting>
  <conditionalFormatting sqref="N70:N72">
    <cfRule type="containsText" dxfId="4" priority="1" operator="containsText" text="❌">
      <formula>NOT(ISERROR(SEARCH("❌",N70)))</formula>
    </cfRule>
  </conditionalFormatting>
  <hyperlinks>
    <hyperlink ref="AN61" r:id="rId1"/>
    <hyperlink ref="AN97" r:id="rId2"/>
    <hyperlink ref="AQ97" r:id="rId3"/>
    <hyperlink ref="AN100" r:id="rId4" display="\\192.168.10.203\Institucional\OGS\0 OFICINA DE GESTION SOCIAL 2022\ATENCION AL CIUDADANO\Seguimiento a la calidad de las respuestas"/>
    <hyperlink ref="AQ100" r:id="rId5" display="\\192.168.10.203\Institucional\OGS\0 OFICINA DE GESTION SOCIAL 2022\ATENCION AL CIUDADANO\CAPACITACIONES FUNCIONALES"/>
  </hyperlinks>
  <pageMargins left="0.7" right="0.7" top="0.75" bottom="0.75" header="0.3" footer="0.3"/>
  <pageSetup orientation="portrait" r:id="rId6"/>
  <extLst>
    <ext xmlns:x14="http://schemas.microsoft.com/office/spreadsheetml/2009/9/main" uri="{CCE6A557-97BC-4b89-ADB6-D9C93CAAB3DF}">
      <x14:dataValidations xmlns:xm="http://schemas.microsoft.com/office/excel/2006/main" count="9">
        <x14:dataValidation type="list" allowBlank="1" showInputMessage="1" showErrorMessage="1">
          <x14:formula1>
            <xm:f>'Opciones Tratamiento'!$B$13:$B$19</xm:f>
          </x14:formula1>
          <xm:sqref>I7 I10 I13 I103 I16 I19 I22 I25 I28 I31 I34 I37 I40 I43 I46 I49 I52 I55 I106 I58 I61 I64 I67 I73 I76 I79 I82 I88 I91 I94 I97:I98 I139 I124 I109 I112 I115 I118 I121 I127 I130 I133 I136 I142 I145 I148 I151 I85 I70</xm:sqref>
        </x14:dataValidation>
        <x14:dataValidation type="list" allowBlank="1" showInputMessage="1" showErrorMessage="1">
          <x14:formula1>
            <xm:f>'Opciones Tratamiento'!$E$2:$E$4</xm:f>
          </x14:formula1>
          <xm:sqref>E7 E10 E13 E103 E16 E19 E22 E25 E28 E31 E34 E37 E40 E43 E46 E49 E52 E55 E106 E58 E61 E64 E67 E73 E76 E79 E82 E88 E91 E94 E97:E98 E139 E124 E109 E112 E115 E118 E121 E127 E130 E133 E136 E142 E145 E148 E151 E85 E70</xm:sqref>
        </x14:dataValidation>
        <x14:dataValidation type="list" allowBlank="1" showInputMessage="1" showErrorMessage="1">
          <x14:formula1>
            <xm:f>'Tabla Impacto'!$F$210:$F$221</xm:f>
          </x14:formula1>
          <xm:sqref>M7 M10 M13 M148 M16 M19 M22 M25 M28 M31 M34 M37 M40 M43 M46 M49 M52 M55 M151 M58 M61 M64 M67 M73 M142 M145 M76 M79 M82 M85 M88 M91 M94 M97:M98 M139 M103 M106 M109 M112 M115 M118 M121 M124 M127 M130 M133 M136 M70</xm:sqref>
        </x14:dataValidation>
        <x14:dataValidation type="list" allowBlank="1" showInputMessage="1" showErrorMessage="1">
          <x14:formula1>
            <xm:f>'Tabla Valoración controles'!$D$4:$D$6</xm:f>
          </x14:formula1>
          <xm:sqref>U103:U153 U7:U98</xm:sqref>
        </x14:dataValidation>
        <x14:dataValidation type="list" allowBlank="1" showInputMessage="1" showErrorMessage="1">
          <x14:formula1>
            <xm:f>'Tabla Valoración controles'!$D$7:$D$8</xm:f>
          </x14:formula1>
          <xm:sqref>V103:V153 V7:V98</xm:sqref>
        </x14:dataValidation>
        <x14:dataValidation type="list" allowBlank="1" showInputMessage="1" showErrorMessage="1">
          <x14:formula1>
            <xm:f>'Tabla Valoración controles'!$D$9:$D$10</xm:f>
          </x14:formula1>
          <xm:sqref>X103:X153 X7:X98</xm:sqref>
        </x14:dataValidation>
        <x14:dataValidation type="list" allowBlank="1" showInputMessage="1" showErrorMessage="1">
          <x14:formula1>
            <xm:f>'Tabla Valoración controles'!$D$11:$D$12</xm:f>
          </x14:formula1>
          <xm:sqref>Y103:Y153 Y7:Y98</xm:sqref>
        </x14:dataValidation>
        <x14:dataValidation type="list" allowBlank="1" showInputMessage="1" showErrorMessage="1">
          <x14:formula1>
            <xm:f>'Tabla Valoración controles'!$D$13:$D$14</xm:f>
          </x14:formula1>
          <xm:sqref>Z103:Z153 Z7:Z98</xm:sqref>
        </x14:dataValidation>
        <x14:dataValidation type="list" allowBlank="1" showInputMessage="1" showErrorMessage="1">
          <x14:formula1>
            <xm:f>'Opciones Tratamiento'!$B$2:$B$5</xm:f>
          </x14:formula1>
          <xm:sqref>AG103:AG153 AG7:AG98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4"/>
  <sheetViews>
    <sheetView topLeftCell="E1" zoomScale="40" zoomScaleNormal="40" workbookViewId="0">
      <selection activeCell="AJ64" sqref="AJ64:AK6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row>
    <row r="2" spans="1:119" ht="18" customHeight="1" x14ac:dyDescent="0.25">
      <c r="A2" s="55"/>
      <c r="B2" s="547" t="s">
        <v>135</v>
      </c>
      <c r="C2" s="547"/>
      <c r="D2" s="547"/>
      <c r="E2" s="547"/>
      <c r="F2" s="547"/>
      <c r="G2" s="547"/>
      <c r="H2" s="547"/>
      <c r="I2" s="547"/>
      <c r="J2" s="315" t="s">
        <v>2</v>
      </c>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row>
    <row r="3" spans="1:119" ht="18.75" customHeight="1" x14ac:dyDescent="0.25">
      <c r="A3" s="55"/>
      <c r="B3" s="547"/>
      <c r="C3" s="547"/>
      <c r="D3" s="547"/>
      <c r="E3" s="547"/>
      <c r="F3" s="547"/>
      <c r="G3" s="547"/>
      <c r="H3" s="547"/>
      <c r="I3" s="547"/>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row>
    <row r="4" spans="1:119" ht="15" customHeight="1" x14ac:dyDescent="0.25">
      <c r="A4" s="55"/>
      <c r="B4" s="547"/>
      <c r="C4" s="547"/>
      <c r="D4" s="547"/>
      <c r="E4" s="547"/>
      <c r="F4" s="547"/>
      <c r="G4" s="547"/>
      <c r="H4" s="547"/>
      <c r="I4" s="547"/>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row>
    <row r="5" spans="1:11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row>
    <row r="6" spans="1:119" ht="15" customHeight="1" x14ac:dyDescent="0.25">
      <c r="A6" s="55"/>
      <c r="B6" s="316" t="s">
        <v>4</v>
      </c>
      <c r="C6" s="316"/>
      <c r="D6" s="317"/>
      <c r="E6" s="532" t="s">
        <v>107</v>
      </c>
      <c r="F6" s="533"/>
      <c r="G6" s="533"/>
      <c r="H6" s="533"/>
      <c r="I6" s="538"/>
      <c r="J6" s="548" t="str">
        <f>IF(AND('Mapa final'!$K$7="Muy Alta",'Mapa final'!$O$7="Leve"),CONCATENATE("R",'Mapa final'!$A$7),"")</f>
        <v/>
      </c>
      <c r="K6" s="542"/>
      <c r="L6" s="542" t="str">
        <f>IF(AND('Mapa final'!$K$10="Muy Alta",'Mapa final'!$O$10="Leve"),CONCATENATE("R",'Mapa final'!$A$10),"")</f>
        <v/>
      </c>
      <c r="M6" s="542"/>
      <c r="N6" s="542" t="str">
        <f>IF(AND('Mapa final'!$K$13="Muy Alta",'Mapa final'!$O$13="Leve"),CONCATENATE("R",'Mapa final'!$A$13),"")</f>
        <v/>
      </c>
      <c r="O6" s="542"/>
      <c r="P6" s="542" t="e">
        <f>IF(AND('Mapa final'!#REF!="Muy Alta",'Mapa final'!#REF!="Leve"),CONCATENATE("R",'Mapa final'!#REF!),"")</f>
        <v>#REF!</v>
      </c>
      <c r="Q6" s="542"/>
      <c r="R6" s="542" t="str">
        <f>IF(AND('Mapa final'!$K$16="Muy Alta",'Mapa final'!$O$16="Leve"),CONCATENATE("R",'Mapa final'!$A$16),"")</f>
        <v/>
      </c>
      <c r="S6" s="542"/>
      <c r="T6" s="483" t="str">
        <f>IF(AND('Mapa final'!$K$7="Muy Alta",'Mapa final'!$O$7="Menor"),CONCATENATE("R",'Mapa final'!$A$7),"")</f>
        <v/>
      </c>
      <c r="U6" s="484"/>
      <c r="V6" s="484" t="str">
        <f>IF(AND('Mapa final'!$K$10="Muy Alta",'Mapa final'!$O$10="Menor"),CONCATENATE("R",'Mapa final'!$A$10),"")</f>
        <v/>
      </c>
      <c r="W6" s="484"/>
      <c r="X6" s="484" t="str">
        <f>IF(AND('Mapa final'!$K$13="Muy Alta",'Mapa final'!$O$13="Menor"),CONCATENATE("R",'Mapa final'!$A$13),"")</f>
        <v/>
      </c>
      <c r="Y6" s="484"/>
      <c r="Z6" s="484" t="e">
        <f>IF(AND('Mapa final'!#REF!="Muy Alta",'Mapa final'!#REF!="Menor"),CONCATENATE("R",'Mapa final'!#REF!),"")</f>
        <v>#REF!</v>
      </c>
      <c r="AA6" s="484"/>
      <c r="AB6" s="484" t="str">
        <f>IF(AND('Mapa final'!$K$16="Muy Alta",'Mapa final'!$O$16="Menor"),CONCATENATE("R",'Mapa final'!$A$16),"")</f>
        <v/>
      </c>
      <c r="AC6" s="485"/>
      <c r="AD6" s="483" t="str">
        <f>IF(AND('Mapa final'!$K$7="Muy Alta",'Mapa final'!$O$7="Moderado"),CONCATENATE("R",'Mapa final'!$A$7),"")</f>
        <v/>
      </c>
      <c r="AE6" s="484"/>
      <c r="AF6" s="484" t="str">
        <f>IF(AND('Mapa final'!$K$10="Muy Alta",'Mapa final'!$O$10="Moderado"),CONCATENATE("R",'Mapa final'!$A$10),"")</f>
        <v/>
      </c>
      <c r="AG6" s="484"/>
      <c r="AH6" s="484" t="str">
        <f>IF(AND('Mapa final'!$K$13="Muy Alta",'Mapa final'!$O$13="Moderado"),CONCATENATE("R",'Mapa final'!$A$13),"")</f>
        <v/>
      </c>
      <c r="AI6" s="484"/>
      <c r="AJ6" s="484" t="e">
        <f>IF(AND('Mapa final'!#REF!="Muy Alta",'Mapa final'!#REF!="Moderado"),CONCATENATE("R",'Mapa final'!#REF!),"")</f>
        <v>#REF!</v>
      </c>
      <c r="AK6" s="484"/>
      <c r="AL6" s="484" t="str">
        <f>IF(AND('Mapa final'!$K$16="Muy Alta",'Mapa final'!$O$16="Moderado"),CONCATENATE("R",'Mapa final'!$A$16),"")</f>
        <v/>
      </c>
      <c r="AM6" s="485"/>
      <c r="AN6" s="483" t="str">
        <f>IF(AND('Mapa final'!$K$7="Muy Alta",'Mapa final'!$O$7="Mayor"),CONCATENATE("R",'Mapa final'!$A$7),"")</f>
        <v/>
      </c>
      <c r="AO6" s="484"/>
      <c r="AP6" s="484" t="str">
        <f>IF(AND('Mapa final'!$K$10="Muy Alta",'Mapa final'!$O$10="Mayor"),CONCATENATE("R",'Mapa final'!$A$10),"")</f>
        <v/>
      </c>
      <c r="AQ6" s="484"/>
      <c r="AR6" s="484" t="str">
        <f>IF(AND('Mapa final'!$K$13="Muy Alta",'Mapa final'!$O$13="Mayor"),CONCATENATE("R",'Mapa final'!$A$13),"")</f>
        <v/>
      </c>
      <c r="AS6" s="484"/>
      <c r="AT6" s="484" t="e">
        <f>IF(AND('Mapa final'!#REF!="Muy Alta",'Mapa final'!#REF!="Mayor"),CONCATENATE("R",'Mapa final'!#REF!),"")</f>
        <v>#REF!</v>
      </c>
      <c r="AU6" s="484"/>
      <c r="AV6" s="484" t="str">
        <f>IF(AND('Mapa final'!$K$16="Muy Alta",'Mapa final'!$O$16="Mayor"),CONCATENATE("R",'Mapa final'!$A$16),"")</f>
        <v/>
      </c>
      <c r="AW6" s="485"/>
      <c r="AX6" s="490" t="str">
        <f>IF(AND('Mapa final'!$K$7="Muy Alta",'Mapa final'!$O$7="Catastrófico"),CONCATENATE("R",'Mapa final'!$A$7),"")</f>
        <v/>
      </c>
      <c r="AY6" s="489"/>
      <c r="AZ6" s="489" t="str">
        <f>IF(AND('Mapa final'!$K$10="Muy Alta",'Mapa final'!$O$10="Catastrófico"),CONCATENATE("R",'Mapa final'!$A$10),"")</f>
        <v/>
      </c>
      <c r="BA6" s="489"/>
      <c r="BB6" s="489" t="str">
        <f>IF(AND('Mapa final'!$K$13="Muy Alta",'Mapa final'!$O$13="Catastrófico"),CONCATENATE("R",'Mapa final'!$A$13),"")</f>
        <v/>
      </c>
      <c r="BC6" s="489"/>
      <c r="BD6" s="489" t="e">
        <f>IF(AND('Mapa final'!#REF!="Muy Alta",'Mapa final'!#REF!="Catastrófico"),CONCATENATE("R",'Mapa final'!#REF!),"")</f>
        <v>#REF!</v>
      </c>
      <c r="BE6" s="489"/>
      <c r="BF6" s="489" t="str">
        <f>IF(AND('Mapa final'!$K$16="Muy Alta",'Mapa final'!$O$16="Catastrófico"),CONCATENATE("R",'Mapa final'!$A$16),"")</f>
        <v/>
      </c>
      <c r="BG6" s="54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row>
    <row r="7" spans="1:119" ht="15" customHeight="1" x14ac:dyDescent="0.25">
      <c r="A7" s="55"/>
      <c r="B7" s="316"/>
      <c r="C7" s="316"/>
      <c r="D7" s="317"/>
      <c r="E7" s="534"/>
      <c r="F7" s="535"/>
      <c r="G7" s="535"/>
      <c r="H7" s="535"/>
      <c r="I7" s="539"/>
      <c r="J7" s="544"/>
      <c r="K7" s="471"/>
      <c r="L7" s="471"/>
      <c r="M7" s="471"/>
      <c r="N7" s="471"/>
      <c r="O7" s="471"/>
      <c r="P7" s="471"/>
      <c r="Q7" s="471"/>
      <c r="R7" s="471"/>
      <c r="S7" s="471"/>
      <c r="T7" s="473"/>
      <c r="U7" s="471"/>
      <c r="V7" s="471"/>
      <c r="W7" s="471"/>
      <c r="X7" s="471"/>
      <c r="Y7" s="471"/>
      <c r="Z7" s="471"/>
      <c r="AA7" s="471"/>
      <c r="AB7" s="471"/>
      <c r="AC7" s="472"/>
      <c r="AD7" s="473"/>
      <c r="AE7" s="471"/>
      <c r="AF7" s="471"/>
      <c r="AG7" s="471"/>
      <c r="AH7" s="471"/>
      <c r="AI7" s="471"/>
      <c r="AJ7" s="471"/>
      <c r="AK7" s="471"/>
      <c r="AL7" s="471"/>
      <c r="AM7" s="472"/>
      <c r="AN7" s="473"/>
      <c r="AO7" s="471"/>
      <c r="AP7" s="471"/>
      <c r="AQ7" s="471"/>
      <c r="AR7" s="471"/>
      <c r="AS7" s="471"/>
      <c r="AT7" s="471"/>
      <c r="AU7" s="471"/>
      <c r="AV7" s="471"/>
      <c r="AW7" s="472"/>
      <c r="AX7" s="467"/>
      <c r="AY7" s="465"/>
      <c r="AZ7" s="465"/>
      <c r="BA7" s="465"/>
      <c r="BB7" s="465"/>
      <c r="BC7" s="465"/>
      <c r="BD7" s="465"/>
      <c r="BE7" s="465"/>
      <c r="BF7" s="465"/>
      <c r="BG7" s="466"/>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row>
    <row r="8" spans="1:119" ht="15" customHeight="1" x14ac:dyDescent="0.25">
      <c r="A8" s="55"/>
      <c r="B8" s="316"/>
      <c r="C8" s="316"/>
      <c r="D8" s="317"/>
      <c r="E8" s="534"/>
      <c r="F8" s="535"/>
      <c r="G8" s="535"/>
      <c r="H8" s="535"/>
      <c r="I8" s="539"/>
      <c r="J8" s="544" t="str">
        <f>IF(AND('Mapa final'!$K$19="Muy Alta",'Mapa final'!$O$19="Leve"),CONCATENATE("R",'Mapa final'!$A$19),"")</f>
        <v/>
      </c>
      <c r="K8" s="471"/>
      <c r="L8" s="471" t="str">
        <f>IF(AND('Mapa final'!$K$22="Muy Alta",'Mapa final'!$O$22="Leve"),CONCATENATE("R",'Mapa final'!$A$22),"")</f>
        <v/>
      </c>
      <c r="M8" s="471"/>
      <c r="N8" s="471" t="str">
        <f>IF(AND('Mapa final'!$K$25="Muy Alta",'Mapa final'!$O$25="Leve"),CONCATENATE("R",'Mapa final'!$A$25),"")</f>
        <v/>
      </c>
      <c r="O8" s="471"/>
      <c r="P8" s="471" t="str">
        <f>IF(AND('Mapa final'!$K$28="Muy Alta",'Mapa final'!$O$28="Leve"),CONCATENATE("R",'Mapa final'!$A$28),"")</f>
        <v/>
      </c>
      <c r="Q8" s="471"/>
      <c r="R8" s="471" t="str">
        <f>IF(AND('Mapa final'!$K$31="Muy Alta",'Mapa final'!$O$31="Leve"),CONCATENATE("R",'Mapa final'!$A$31),"")</f>
        <v/>
      </c>
      <c r="S8" s="471"/>
      <c r="T8" s="473" t="str">
        <f>IF(AND('Mapa final'!$K$19="Muy Alta",'Mapa final'!$O$19="Menor"),CONCATENATE("R",'Mapa final'!$A$19),"")</f>
        <v/>
      </c>
      <c r="U8" s="471"/>
      <c r="V8" s="471" t="str">
        <f>IF(AND('Mapa final'!$K$22="Muy Alta",'Mapa final'!$O$22="Menor"),CONCATENATE("R",'Mapa final'!$A$22),"")</f>
        <v/>
      </c>
      <c r="W8" s="471"/>
      <c r="X8" s="471" t="str">
        <f>IF(AND('Mapa final'!$K$25="Muy Alta",'Mapa final'!$O$25="Menor"),CONCATENATE("R",'Mapa final'!$A$25),"")</f>
        <v/>
      </c>
      <c r="Y8" s="471"/>
      <c r="Z8" s="471" t="str">
        <f>IF(AND('Mapa final'!$K$28="Muy Alta",'Mapa final'!$O$28="Menor"),CONCATENATE("R",'Mapa final'!$A$28),"")</f>
        <v/>
      </c>
      <c r="AA8" s="471"/>
      <c r="AB8" s="471" t="str">
        <f>IF(AND('Mapa final'!$K$31="Muy Alta",'Mapa final'!$O$31="Menor"),CONCATENATE("R",'Mapa final'!$A$31),"")</f>
        <v/>
      </c>
      <c r="AC8" s="472"/>
      <c r="AD8" s="473" t="str">
        <f>IF(AND('Mapa final'!$K$19="Muy Alta",'Mapa final'!$O$19="Moderado"),CONCATENATE("R",'Mapa final'!$A$19),"")</f>
        <v/>
      </c>
      <c r="AE8" s="471"/>
      <c r="AF8" s="471" t="str">
        <f>IF(AND('Mapa final'!$K$22="Muy Alta",'Mapa final'!$O$22="Moderado"),CONCATENATE("R",'Mapa final'!$A$22),"")</f>
        <v/>
      </c>
      <c r="AG8" s="471"/>
      <c r="AH8" s="471" t="str">
        <f>IF(AND('Mapa final'!$K$25="Muy Alta",'Mapa final'!$O$25="Moderado"),CONCATENATE("R",'Mapa final'!$A$25),"")</f>
        <v/>
      </c>
      <c r="AI8" s="471"/>
      <c r="AJ8" s="471" t="str">
        <f>IF(AND('Mapa final'!$K$28="Muy Alta",'Mapa final'!$O$28="Moderado"),CONCATENATE("R",'Mapa final'!$A$28),"")</f>
        <v/>
      </c>
      <c r="AK8" s="471"/>
      <c r="AL8" s="471" t="str">
        <f>IF(AND('Mapa final'!$K$31="Muy Alta",'Mapa final'!$O$31="Moderado"),CONCATENATE("R",'Mapa final'!$A$31),"")</f>
        <v/>
      </c>
      <c r="AM8" s="472"/>
      <c r="AN8" s="473" t="str">
        <f>IF(AND('Mapa final'!$K$19="Muy Alta",'Mapa final'!$O$19="Mayor"),CONCATENATE("R",'Mapa final'!$A$19),"")</f>
        <v/>
      </c>
      <c r="AO8" s="471"/>
      <c r="AP8" s="471" t="str">
        <f>IF(AND('Mapa final'!$K$22="Muy Alta",'Mapa final'!$O$22="Mayor"),CONCATENATE("R",'Mapa final'!$A$22),"")</f>
        <v/>
      </c>
      <c r="AQ8" s="471"/>
      <c r="AR8" s="471" t="str">
        <f>IF(AND('Mapa final'!$K$25="Muy Alta",'Mapa final'!$O$25="Mayor"),CONCATENATE("R",'Mapa final'!$A$25),"")</f>
        <v/>
      </c>
      <c r="AS8" s="471"/>
      <c r="AT8" s="471" t="str">
        <f>IF(AND('Mapa final'!$K$28="Muy Alta",'Mapa final'!$O$28="Mayor"),CONCATENATE("R",'Mapa final'!$A$28),"")</f>
        <v/>
      </c>
      <c r="AU8" s="471"/>
      <c r="AV8" s="471" t="str">
        <f>IF(AND('Mapa final'!$K$31="Muy Alta",'Mapa final'!$O$31="Mayor"),CONCATENATE("R",'Mapa final'!$A$31),"")</f>
        <v/>
      </c>
      <c r="AW8" s="472"/>
      <c r="AX8" s="467" t="str">
        <f>IF(AND('Mapa final'!$K$19="Muy Alta",'Mapa final'!$O$19="Catastrófico"),CONCATENATE("R",'Mapa final'!$A$19),"")</f>
        <v/>
      </c>
      <c r="AY8" s="465"/>
      <c r="AZ8" s="465" t="str">
        <f>IF(AND('Mapa final'!$K$22="Muy Alta",'Mapa final'!$O$22="Catastrófico"),CONCATENATE("R",'Mapa final'!$A$22),"")</f>
        <v/>
      </c>
      <c r="BA8" s="465"/>
      <c r="BB8" s="465" t="str">
        <f>IF(AND('Mapa final'!$K$25="Muy Alta",'Mapa final'!$O$25="Catastrófico"),CONCATENATE("R",'Mapa final'!$A$25),"")</f>
        <v/>
      </c>
      <c r="BC8" s="465"/>
      <c r="BD8" s="465" t="str">
        <f>IF(AND('Mapa final'!$K$28="Muy Alta",'Mapa final'!$O$28="Catastrófico"),CONCATENATE("R",'Mapa final'!$A$28),"")</f>
        <v/>
      </c>
      <c r="BE8" s="465"/>
      <c r="BF8" s="465" t="str">
        <f>IF(AND('Mapa final'!$K$31="Muy Alta",'Mapa final'!$O$31="Catastrófico"),CONCATENATE("R",'Mapa final'!$A$31),"")</f>
        <v/>
      </c>
      <c r="BG8" s="466"/>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c r="CP8" s="55"/>
      <c r="CQ8" s="55"/>
      <c r="CR8" s="55"/>
      <c r="CS8" s="55"/>
      <c r="CT8" s="55"/>
      <c r="CU8" s="55"/>
      <c r="CV8" s="55"/>
    </row>
    <row r="9" spans="1:119" ht="15" customHeight="1" x14ac:dyDescent="0.25">
      <c r="A9" s="55"/>
      <c r="B9" s="316"/>
      <c r="C9" s="316"/>
      <c r="D9" s="317"/>
      <c r="E9" s="534"/>
      <c r="F9" s="535"/>
      <c r="G9" s="535"/>
      <c r="H9" s="535"/>
      <c r="I9" s="539"/>
      <c r="J9" s="544"/>
      <c r="K9" s="471"/>
      <c r="L9" s="471"/>
      <c r="M9" s="471"/>
      <c r="N9" s="471"/>
      <c r="O9" s="471"/>
      <c r="P9" s="471"/>
      <c r="Q9" s="471"/>
      <c r="R9" s="471"/>
      <c r="S9" s="471"/>
      <c r="T9" s="473"/>
      <c r="U9" s="471"/>
      <c r="V9" s="471"/>
      <c r="W9" s="471"/>
      <c r="X9" s="471"/>
      <c r="Y9" s="471"/>
      <c r="Z9" s="471"/>
      <c r="AA9" s="471"/>
      <c r="AB9" s="471"/>
      <c r="AC9" s="472"/>
      <c r="AD9" s="473"/>
      <c r="AE9" s="471"/>
      <c r="AF9" s="471"/>
      <c r="AG9" s="471"/>
      <c r="AH9" s="471"/>
      <c r="AI9" s="471"/>
      <c r="AJ9" s="471"/>
      <c r="AK9" s="471"/>
      <c r="AL9" s="471"/>
      <c r="AM9" s="472"/>
      <c r="AN9" s="473"/>
      <c r="AO9" s="471"/>
      <c r="AP9" s="471"/>
      <c r="AQ9" s="471"/>
      <c r="AR9" s="471"/>
      <c r="AS9" s="471"/>
      <c r="AT9" s="471"/>
      <c r="AU9" s="471"/>
      <c r="AV9" s="471"/>
      <c r="AW9" s="472"/>
      <c r="AX9" s="467"/>
      <c r="AY9" s="465"/>
      <c r="AZ9" s="465"/>
      <c r="BA9" s="465"/>
      <c r="BB9" s="465"/>
      <c r="BC9" s="465"/>
      <c r="BD9" s="465"/>
      <c r="BE9" s="465"/>
      <c r="BF9" s="465"/>
      <c r="BG9" s="466"/>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c r="CP9" s="55"/>
      <c r="CQ9" s="55"/>
      <c r="CR9" s="55"/>
      <c r="CS9" s="55"/>
      <c r="CT9" s="55"/>
      <c r="CU9" s="55"/>
      <c r="CV9" s="55"/>
    </row>
    <row r="10" spans="1:119" ht="15" customHeight="1" x14ac:dyDescent="0.25">
      <c r="A10" s="55"/>
      <c r="B10" s="316"/>
      <c r="C10" s="316"/>
      <c r="D10" s="317"/>
      <c r="E10" s="534"/>
      <c r="F10" s="535"/>
      <c r="G10" s="535"/>
      <c r="H10" s="535"/>
      <c r="I10" s="539"/>
      <c r="J10" s="544" t="str">
        <f>IF(AND('Mapa final'!$K$34="Muy Alta",'Mapa final'!$O$34="Leve"),CONCATENATE("R",'Mapa final'!$A$34),"")</f>
        <v/>
      </c>
      <c r="K10" s="471"/>
      <c r="L10" s="471" t="str">
        <f>IF(AND('Mapa final'!$K$37="Muy Alta",'Mapa final'!$O$37="Leve"),CONCATENATE("R",'Mapa final'!$A$37),"")</f>
        <v/>
      </c>
      <c r="M10" s="471"/>
      <c r="N10" s="471" t="str">
        <f>IF(AND('Mapa final'!$K$40="Muy Alta",'Mapa final'!$O$40="Leve"),CONCATENATE("R",'Mapa final'!$A$40),"")</f>
        <v/>
      </c>
      <c r="O10" s="471"/>
      <c r="P10" s="471" t="str">
        <f>IF(AND('Mapa final'!$K$43="Muy Alta",'Mapa final'!$O$43="Leve"),CONCATENATE("R",'Mapa final'!$A$43),"")</f>
        <v/>
      </c>
      <c r="Q10" s="471"/>
      <c r="R10" s="471" t="str">
        <f>IF(AND('Mapa final'!$K$46="Muy Alta",'Mapa final'!$O$46="Leve"),CONCATENATE("R",'Mapa final'!$A$46),"")</f>
        <v/>
      </c>
      <c r="S10" s="471"/>
      <c r="T10" s="473" t="str">
        <f>IF(AND('Mapa final'!$K$34="Muy Alta",'Mapa final'!$O$34="Menor"),CONCATENATE("R",'Mapa final'!$A$34),"")</f>
        <v/>
      </c>
      <c r="U10" s="471"/>
      <c r="V10" s="471" t="str">
        <f>IF(AND('Mapa final'!$K$37="Muy Alta",'Mapa final'!$O$37="Menor"),CONCATENATE("R",'Mapa final'!$A$37),"")</f>
        <v/>
      </c>
      <c r="W10" s="471"/>
      <c r="X10" s="471" t="str">
        <f>IF(AND('Mapa final'!$K$40="Muy Alta",'Mapa final'!$O$40="Menor"),CONCATENATE("R",'Mapa final'!$A$40),"")</f>
        <v/>
      </c>
      <c r="Y10" s="471"/>
      <c r="Z10" s="471" t="str">
        <f>IF(AND('Mapa final'!$K$43="Muy Alta",'Mapa final'!$O$43="Menor"),CONCATENATE("R",'Mapa final'!$A$43),"")</f>
        <v/>
      </c>
      <c r="AA10" s="471"/>
      <c r="AB10" s="471" t="str">
        <f>IF(AND('Mapa final'!$K$46="Muy Alta",'Mapa final'!$O$46="Menor"),CONCATENATE("R",'Mapa final'!$A$46),"")</f>
        <v/>
      </c>
      <c r="AC10" s="472"/>
      <c r="AD10" s="473" t="str">
        <f>IF(AND('Mapa final'!$K$34="Muy Alta",'Mapa final'!$O$34="Moderado"),CONCATENATE("R",'Mapa final'!$A$34),"")</f>
        <v/>
      </c>
      <c r="AE10" s="471"/>
      <c r="AF10" s="471" t="str">
        <f>IF(AND('Mapa final'!$K$37="Muy Alta",'Mapa final'!$O$37="Moderado"),CONCATENATE("R",'Mapa final'!$A$37),"")</f>
        <v/>
      </c>
      <c r="AG10" s="471"/>
      <c r="AH10" s="471" t="str">
        <f>IF(AND('Mapa final'!$K$40="Muy Alta",'Mapa final'!$O$40="Moderado"),CONCATENATE("R",'Mapa final'!$A$40),"")</f>
        <v/>
      </c>
      <c r="AI10" s="471"/>
      <c r="AJ10" s="471" t="str">
        <f>IF(AND('Mapa final'!$K$43="Muy Alta",'Mapa final'!$O$43="Moderado"),CONCATENATE("R",'Mapa final'!$A$43),"")</f>
        <v/>
      </c>
      <c r="AK10" s="471"/>
      <c r="AL10" s="471" t="str">
        <f>IF(AND('Mapa final'!$K$46="Muy Alta",'Mapa final'!$O$46="Moderado"),CONCATENATE("R",'Mapa final'!$A$46),"")</f>
        <v/>
      </c>
      <c r="AM10" s="472"/>
      <c r="AN10" s="473" t="str">
        <f>IF(AND('Mapa final'!$K$34="Muy Alta",'Mapa final'!$O$34="Mayor"),CONCATENATE("R",'Mapa final'!$A$34),"")</f>
        <v/>
      </c>
      <c r="AO10" s="471"/>
      <c r="AP10" s="471" t="str">
        <f>IF(AND('Mapa final'!$K$37="Muy Alta",'Mapa final'!$O$37="Mayor"),CONCATENATE("R",'Mapa final'!$A$37),"")</f>
        <v/>
      </c>
      <c r="AQ10" s="471"/>
      <c r="AR10" s="471" t="str">
        <f>IF(AND('Mapa final'!$K$40="Muy Alta",'Mapa final'!$O$40="Mayor"),CONCATENATE("R",'Mapa final'!$A$40),"")</f>
        <v/>
      </c>
      <c r="AS10" s="471"/>
      <c r="AT10" s="471" t="str">
        <f>IF(AND('Mapa final'!$K$43="Muy Alta",'Mapa final'!$O$43="Mayor"),CONCATENATE("R",'Mapa final'!$A$43),"")</f>
        <v/>
      </c>
      <c r="AU10" s="471"/>
      <c r="AV10" s="471" t="str">
        <f>IF(AND('Mapa final'!$K$46="Muy Alta",'Mapa final'!$O$46="Mayor"),CONCATENATE("R",'Mapa final'!$A$46),"")</f>
        <v/>
      </c>
      <c r="AW10" s="472"/>
      <c r="AX10" s="467" t="str">
        <f>IF(AND('Mapa final'!$K$34="Muy Alta",'Mapa final'!$O$34="Catastrófico"),CONCATENATE("R",'Mapa final'!$A$34),"")</f>
        <v/>
      </c>
      <c r="AY10" s="465"/>
      <c r="AZ10" s="465" t="str">
        <f>IF(AND('Mapa final'!$K$37="Muy Alta",'Mapa final'!$O$37="Catastrófico"),CONCATENATE("R",'Mapa final'!$A$37),"")</f>
        <v/>
      </c>
      <c r="BA10" s="465"/>
      <c r="BB10" s="465" t="str">
        <f>IF(AND('Mapa final'!$K$40="Muy Alta",'Mapa final'!$O$40="Catastrófico"),CONCATENATE("R",'Mapa final'!$A$40),"")</f>
        <v/>
      </c>
      <c r="BC10" s="465"/>
      <c r="BD10" s="465" t="str">
        <f>IF(AND('Mapa final'!$K$43="Muy Alta",'Mapa final'!$O$43="Catastrófico"),CONCATENATE("R",'Mapa final'!$A$43),"")</f>
        <v/>
      </c>
      <c r="BE10" s="465"/>
      <c r="BF10" s="465" t="str">
        <f>IF(AND('Mapa final'!$K$46="Muy Alta",'Mapa final'!$O$46="Catastrófico"),CONCATENATE("R",'Mapa final'!$A$46),"")</f>
        <v/>
      </c>
      <c r="BG10" s="466"/>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55"/>
      <c r="CI10" s="55"/>
      <c r="CJ10" s="55"/>
      <c r="CK10" s="55"/>
      <c r="CL10" s="55"/>
      <c r="CM10" s="55"/>
      <c r="CN10" s="55"/>
      <c r="CO10" s="55"/>
      <c r="CP10" s="55"/>
      <c r="CQ10" s="55"/>
      <c r="CR10" s="55"/>
      <c r="CS10" s="55"/>
      <c r="CT10" s="55"/>
      <c r="CU10" s="55"/>
      <c r="CV10" s="55"/>
    </row>
    <row r="11" spans="1:119" ht="15" customHeight="1" x14ac:dyDescent="0.25">
      <c r="A11" s="55"/>
      <c r="B11" s="316"/>
      <c r="C11" s="316"/>
      <c r="D11" s="317"/>
      <c r="E11" s="534"/>
      <c r="F11" s="535"/>
      <c r="G11" s="535"/>
      <c r="H11" s="535"/>
      <c r="I11" s="539"/>
      <c r="J11" s="544"/>
      <c r="K11" s="471"/>
      <c r="L11" s="471"/>
      <c r="M11" s="471"/>
      <c r="N11" s="471"/>
      <c r="O11" s="471"/>
      <c r="P11" s="471"/>
      <c r="Q11" s="471"/>
      <c r="R11" s="471"/>
      <c r="S11" s="471"/>
      <c r="T11" s="473"/>
      <c r="U11" s="471"/>
      <c r="V11" s="471"/>
      <c r="W11" s="471"/>
      <c r="X11" s="471"/>
      <c r="Y11" s="471"/>
      <c r="Z11" s="471"/>
      <c r="AA11" s="471"/>
      <c r="AB11" s="471"/>
      <c r="AC11" s="472"/>
      <c r="AD11" s="473"/>
      <c r="AE11" s="471"/>
      <c r="AF11" s="471"/>
      <c r="AG11" s="471"/>
      <c r="AH11" s="471"/>
      <c r="AI11" s="471"/>
      <c r="AJ11" s="471"/>
      <c r="AK11" s="471"/>
      <c r="AL11" s="471"/>
      <c r="AM11" s="472"/>
      <c r="AN11" s="473"/>
      <c r="AO11" s="471"/>
      <c r="AP11" s="471"/>
      <c r="AQ11" s="471"/>
      <c r="AR11" s="471"/>
      <c r="AS11" s="471"/>
      <c r="AT11" s="471"/>
      <c r="AU11" s="471"/>
      <c r="AV11" s="471"/>
      <c r="AW11" s="472"/>
      <c r="AX11" s="467"/>
      <c r="AY11" s="465"/>
      <c r="AZ11" s="465"/>
      <c r="BA11" s="465"/>
      <c r="BB11" s="465"/>
      <c r="BC11" s="465"/>
      <c r="BD11" s="465"/>
      <c r="BE11" s="465"/>
      <c r="BF11" s="465"/>
      <c r="BG11" s="466"/>
      <c r="BH11" s="55"/>
      <c r="BI11" s="55"/>
      <c r="BJ11" s="55"/>
      <c r="BK11" s="55"/>
      <c r="BL11" s="55"/>
      <c r="BM11" s="55"/>
      <c r="BN11" s="55"/>
      <c r="BO11" s="55"/>
      <c r="BP11" s="55"/>
      <c r="BQ11" s="55"/>
      <c r="BR11" s="55"/>
      <c r="BS11" s="55"/>
      <c r="BT11" s="55"/>
      <c r="BU11" s="55"/>
      <c r="BV11" s="55"/>
      <c r="BW11" s="55"/>
      <c r="BX11" s="55"/>
      <c r="BY11" s="55"/>
      <c r="BZ11" s="55"/>
      <c r="CA11" s="55"/>
      <c r="CB11" s="55"/>
      <c r="CC11" s="55"/>
      <c r="CD11" s="55"/>
      <c r="CE11" s="55"/>
      <c r="CF11" s="55"/>
      <c r="CG11" s="55"/>
      <c r="CH11" s="55"/>
      <c r="CI11" s="55"/>
      <c r="CJ11" s="55"/>
      <c r="CK11" s="55"/>
      <c r="CL11" s="55"/>
      <c r="CM11" s="55"/>
      <c r="CN11" s="55"/>
      <c r="CO11" s="55"/>
      <c r="CP11" s="55"/>
      <c r="CQ11" s="55"/>
      <c r="CR11" s="55"/>
      <c r="CS11" s="55"/>
      <c r="CT11" s="55"/>
      <c r="CU11" s="55"/>
      <c r="CV11" s="55"/>
      <c r="CW11" s="55"/>
      <c r="CX11" s="55"/>
      <c r="CY11" s="55"/>
      <c r="CZ11" s="55"/>
      <c r="DA11" s="55"/>
      <c r="DB11" s="55"/>
    </row>
    <row r="12" spans="1:119" ht="15" customHeight="1" x14ac:dyDescent="0.25">
      <c r="A12" s="55"/>
      <c r="B12" s="316"/>
      <c r="C12" s="316"/>
      <c r="D12" s="317"/>
      <c r="E12" s="534"/>
      <c r="F12" s="535"/>
      <c r="G12" s="535"/>
      <c r="H12" s="535"/>
      <c r="I12" s="539"/>
      <c r="J12" s="471" t="str">
        <f>IF(AND('Mapa final'!$K$49="Muy Alta",'Mapa final'!$O$49="Leve"),CONCATENATE("R",'Mapa final'!$A$49),"")</f>
        <v/>
      </c>
      <c r="K12" s="471"/>
      <c r="L12" s="471" t="str">
        <f>IF(AND('Mapa final'!$K$52="Muy Alta",'Mapa final'!$O$52="Leve"),CONCATENATE("R",'Mapa final'!$A$52),"")</f>
        <v/>
      </c>
      <c r="M12" s="471"/>
      <c r="N12" s="471" t="str">
        <f>IF(AND('Mapa final'!$K$55="Muy Alta",'Mapa final'!$O$55="Leve"),CONCATENATE("R",'Mapa final'!$A$55),"")</f>
        <v/>
      </c>
      <c r="O12" s="471"/>
      <c r="P12" s="471" t="str">
        <f>IF(AND('Mapa final'!$K$58="Muy Alta",'Mapa final'!$O$58="Leve"),CONCATENATE("R",'Mapa final'!$A$58),"")</f>
        <v/>
      </c>
      <c r="Q12" s="471"/>
      <c r="R12" s="471" t="str">
        <f>IF(AND('Mapa final'!$K$61="Muy Alta",'Mapa final'!$O$61="Leve"),CONCATENATE("R",'Mapa final'!$A$61),"")</f>
        <v/>
      </c>
      <c r="S12" s="471"/>
      <c r="T12" s="473" t="str">
        <f>IF(AND('Mapa final'!$K$49="Muy Alta",'Mapa final'!$O$49="Menor"),CONCATENATE("R",'Mapa final'!$A$49),"")</f>
        <v/>
      </c>
      <c r="U12" s="471"/>
      <c r="V12" s="471" t="str">
        <f>IF(AND('Mapa final'!$K$52="Muy Alta",'Mapa final'!$O$52="Menor"),CONCATENATE("R",'Mapa final'!$A$52),"")</f>
        <v/>
      </c>
      <c r="W12" s="471"/>
      <c r="X12" s="471" t="str">
        <f>IF(AND('Mapa final'!$K$55="Muy Alta",'Mapa final'!$O$55="Menor"),CONCATENATE("R",'Mapa final'!$A$55),"")</f>
        <v/>
      </c>
      <c r="Y12" s="471"/>
      <c r="Z12" s="471" t="str">
        <f>IF(AND('Mapa final'!$K$58="Muy Alta",'Mapa final'!$O$58="Menor"),CONCATENATE("R",'Mapa final'!$A$58),"")</f>
        <v/>
      </c>
      <c r="AA12" s="471"/>
      <c r="AB12" s="471" t="str">
        <f>IF(AND('Mapa final'!$K$61="Muy Alta",'Mapa final'!$O$61="Menor"),CONCATENATE("R",'Mapa final'!$A$61),"")</f>
        <v/>
      </c>
      <c r="AC12" s="472"/>
      <c r="AD12" s="473" t="str">
        <f>IF(AND('Mapa final'!$K$49="Muy Alta",'Mapa final'!$O$49="Moderado"),CONCATENATE("R",'Mapa final'!$A$49),"")</f>
        <v/>
      </c>
      <c r="AE12" s="471"/>
      <c r="AF12" s="471" t="str">
        <f>IF(AND('Mapa final'!$K$52="Muy Alta",'Mapa final'!$O$52="Moderado"),CONCATENATE("R",'Mapa final'!$A$52),"")</f>
        <v/>
      </c>
      <c r="AG12" s="471"/>
      <c r="AH12" s="471" t="str">
        <f>IF(AND('Mapa final'!$K$55="Muy Alta",'Mapa final'!$O$55="Moderado"),CONCATENATE("R",'Mapa final'!$A$55),"")</f>
        <v/>
      </c>
      <c r="AI12" s="471"/>
      <c r="AJ12" s="471" t="str">
        <f>IF(AND('Mapa final'!$K$58="Muy Alta",'Mapa final'!$O$58="Moderado"),CONCATENATE("R",'Mapa final'!$A$58),"")</f>
        <v/>
      </c>
      <c r="AK12" s="471"/>
      <c r="AL12" s="471" t="str">
        <f>IF(AND('Mapa final'!$K$61="Muy Alta",'Mapa final'!$O$61="Moderado"),CONCATENATE("R",'Mapa final'!$A$61),"")</f>
        <v/>
      </c>
      <c r="AM12" s="472"/>
      <c r="AN12" s="473" t="str">
        <f>IF(AND('Mapa final'!$K$49="Muy Alta",'Mapa final'!$O$49="Mayor"),CONCATENATE("R",'Mapa final'!$A$49),"")</f>
        <v/>
      </c>
      <c r="AO12" s="471"/>
      <c r="AP12" s="471" t="str">
        <f>IF(AND('Mapa final'!$K$52="Muy Alta",'Mapa final'!$O$52="Mayor"),CONCATENATE("R",'Mapa final'!$A$52),"")</f>
        <v>R16</v>
      </c>
      <c r="AQ12" s="471"/>
      <c r="AR12" s="471" t="str">
        <f>IF(AND('Mapa final'!$K$55="Muy Alta",'Mapa final'!$O$55="Mayor"),CONCATENATE("R",'Mapa final'!$A$55),"")</f>
        <v/>
      </c>
      <c r="AS12" s="471"/>
      <c r="AT12" s="471" t="str">
        <f>IF(AND('Mapa final'!$K$58="Muy Alta",'Mapa final'!$O$58="Mayor"),CONCATENATE("R",'Mapa final'!$A$58),"")</f>
        <v/>
      </c>
      <c r="AU12" s="471"/>
      <c r="AV12" s="471" t="str">
        <f>IF(AND('Mapa final'!$K$61="Muy Alta",'Mapa final'!$O$61="Mayor"),CONCATENATE("R",'Mapa final'!$A$61),"")</f>
        <v/>
      </c>
      <c r="AW12" s="472"/>
      <c r="AX12" s="467" t="str">
        <f>IF(AND('Mapa final'!$K$49="Muy Alta",'Mapa final'!$O$49="Catastrófico"),CONCATENATE("R",'Mapa final'!$A$49),"")</f>
        <v/>
      </c>
      <c r="AY12" s="465"/>
      <c r="AZ12" s="465" t="str">
        <f>IF(AND('Mapa final'!$K$52="Muy Alta",'Mapa final'!$O$52="Catastrófico"),CONCATENATE("R",'Mapa final'!$A$52),"")</f>
        <v/>
      </c>
      <c r="BA12" s="465"/>
      <c r="BB12" s="465" t="str">
        <f>IF(AND('Mapa final'!$K$55="Muy Alta",'Mapa final'!$O$55="Catastrófico"),CONCATENATE("R",'Mapa final'!$A$55),"")</f>
        <v/>
      </c>
      <c r="BC12" s="465"/>
      <c r="BD12" s="465" t="str">
        <f>IF(AND('Mapa final'!$K$58="Muy Alta",'Mapa final'!$O$58="Catastrófico"),CONCATENATE("R",'Mapa final'!$A$58),"")</f>
        <v/>
      </c>
      <c r="BE12" s="465"/>
      <c r="BF12" s="465" t="str">
        <f>IF(AND('Mapa final'!$K$61="Muy Alta",'Mapa final'!$O$61="Catastrófico"),CONCATENATE("R",'Mapa final'!$A$61),"")</f>
        <v/>
      </c>
      <c r="BG12" s="466"/>
      <c r="BH12" s="55"/>
      <c r="BI12" s="55"/>
      <c r="BJ12" s="55"/>
      <c r="BK12" s="55"/>
      <c r="BL12" s="55"/>
      <c r="BM12" s="55"/>
      <c r="BN12" s="55"/>
      <c r="BO12" s="55"/>
      <c r="BP12" s="55"/>
      <c r="BQ12" s="55"/>
      <c r="BR12" s="55"/>
      <c r="BS12" s="55"/>
      <c r="BT12" s="55"/>
      <c r="BU12" s="55"/>
      <c r="BV12" s="55"/>
      <c r="BW12" s="55"/>
      <c r="BX12" s="55"/>
      <c r="BY12" s="55"/>
      <c r="BZ12" s="55"/>
      <c r="CA12" s="55"/>
      <c r="CB12" s="55"/>
      <c r="CC12" s="55"/>
      <c r="CD12" s="55"/>
      <c r="CE12" s="55"/>
      <c r="CF12" s="55"/>
      <c r="CG12" s="55"/>
      <c r="CH12" s="55"/>
      <c r="CI12" s="55"/>
      <c r="CJ12" s="55"/>
      <c r="CK12" s="55"/>
      <c r="CL12" s="55"/>
      <c r="CM12" s="55"/>
      <c r="CN12" s="55"/>
      <c r="CO12" s="55"/>
      <c r="CP12" s="55"/>
      <c r="CQ12" s="55"/>
      <c r="CR12" s="55"/>
      <c r="CS12" s="55"/>
      <c r="CT12" s="55"/>
      <c r="CU12" s="55"/>
      <c r="CV12" s="55"/>
      <c r="CW12" s="55"/>
      <c r="CX12" s="55"/>
      <c r="CY12" s="55"/>
      <c r="CZ12" s="55"/>
      <c r="DA12" s="55"/>
      <c r="DB12" s="55"/>
    </row>
    <row r="13" spans="1:119" ht="15" customHeight="1" thickBot="1" x14ac:dyDescent="0.3">
      <c r="A13" s="55"/>
      <c r="B13" s="316"/>
      <c r="C13" s="316"/>
      <c r="D13" s="317"/>
      <c r="E13" s="534"/>
      <c r="F13" s="535"/>
      <c r="G13" s="535"/>
      <c r="H13" s="535"/>
      <c r="I13" s="539"/>
      <c r="J13" s="471"/>
      <c r="K13" s="471"/>
      <c r="L13" s="471"/>
      <c r="M13" s="471"/>
      <c r="N13" s="471"/>
      <c r="O13" s="471"/>
      <c r="P13" s="471"/>
      <c r="Q13" s="471"/>
      <c r="R13" s="471"/>
      <c r="S13" s="471"/>
      <c r="T13" s="473"/>
      <c r="U13" s="471"/>
      <c r="V13" s="471"/>
      <c r="W13" s="471"/>
      <c r="X13" s="471"/>
      <c r="Y13" s="471"/>
      <c r="Z13" s="471"/>
      <c r="AA13" s="471"/>
      <c r="AB13" s="471"/>
      <c r="AC13" s="472"/>
      <c r="AD13" s="473"/>
      <c r="AE13" s="471"/>
      <c r="AF13" s="471"/>
      <c r="AG13" s="471"/>
      <c r="AH13" s="471"/>
      <c r="AI13" s="471"/>
      <c r="AJ13" s="471"/>
      <c r="AK13" s="471"/>
      <c r="AL13" s="471"/>
      <c r="AM13" s="472"/>
      <c r="AN13" s="473"/>
      <c r="AO13" s="471"/>
      <c r="AP13" s="471"/>
      <c r="AQ13" s="471"/>
      <c r="AR13" s="471"/>
      <c r="AS13" s="471"/>
      <c r="AT13" s="471"/>
      <c r="AU13" s="471"/>
      <c r="AV13" s="471"/>
      <c r="AW13" s="472"/>
      <c r="AX13" s="467"/>
      <c r="AY13" s="465"/>
      <c r="AZ13" s="465"/>
      <c r="BA13" s="465"/>
      <c r="BB13" s="465"/>
      <c r="BC13" s="465"/>
      <c r="BD13" s="465"/>
      <c r="BE13" s="465"/>
      <c r="BF13" s="465"/>
      <c r="BG13" s="466"/>
      <c r="BH13" s="55"/>
      <c r="BI13" s="55"/>
      <c r="BJ13" s="55"/>
      <c r="BK13" s="55"/>
      <c r="BL13" s="55"/>
      <c r="BM13" s="55"/>
      <c r="BN13" s="55"/>
      <c r="BO13" s="55"/>
      <c r="BP13" s="55"/>
      <c r="BQ13" s="55"/>
      <c r="BR13" s="55"/>
      <c r="BS13" s="55"/>
      <c r="BT13" s="55"/>
      <c r="BU13" s="55"/>
      <c r="BV13" s="55"/>
      <c r="BW13" s="55"/>
      <c r="BX13" s="55"/>
      <c r="BY13" s="55"/>
      <c r="BZ13" s="55"/>
      <c r="CA13" s="55"/>
      <c r="CB13" s="55"/>
      <c r="CC13" s="55"/>
      <c r="CD13" s="55"/>
      <c r="CE13" s="55"/>
      <c r="CF13" s="55"/>
      <c r="CG13" s="55"/>
      <c r="CH13" s="55"/>
      <c r="CI13" s="55"/>
      <c r="CJ13" s="55"/>
      <c r="CK13" s="55"/>
      <c r="CL13" s="55"/>
      <c r="CM13" s="55"/>
      <c r="CN13" s="55"/>
      <c r="CO13" s="55"/>
      <c r="CP13" s="55"/>
      <c r="CQ13" s="55"/>
      <c r="CR13" s="55"/>
      <c r="CS13" s="55"/>
      <c r="CT13" s="55"/>
      <c r="CU13" s="55"/>
      <c r="CV13" s="55"/>
    </row>
    <row r="14" spans="1:119" ht="15" customHeight="1" x14ac:dyDescent="0.25">
      <c r="A14" s="55"/>
      <c r="B14" s="316"/>
      <c r="C14" s="316"/>
      <c r="D14" s="317"/>
      <c r="E14" s="534"/>
      <c r="F14" s="535"/>
      <c r="G14" s="535"/>
      <c r="H14" s="535"/>
      <c r="I14" s="539"/>
      <c r="J14" s="471" t="str">
        <f>IF(AND('Mapa final'!$K$64="Muy Alta",'Mapa final'!$O$64="Leve"),CONCATENATE("R",'Mapa final'!$A$64),"")</f>
        <v/>
      </c>
      <c r="K14" s="471"/>
      <c r="L14" s="471" t="str">
        <f>IF(AND('Mapa final'!$K$67="Muy Alta",'Mapa final'!$O$67="Leve"),CONCATENATE("R",'Mapa final'!$A$67),"")</f>
        <v/>
      </c>
      <c r="M14" s="471"/>
      <c r="N14" s="471" t="str">
        <f>IF(AND('Mapa final'!$K$73="Muy Alta",'Mapa final'!$O$73="Leve"),CONCATENATE("R",'Mapa final'!$A$73),"")</f>
        <v/>
      </c>
      <c r="O14" s="471"/>
      <c r="P14" s="471" t="str">
        <f>IF(AND('Mapa final'!$K$76="Muy Alta",'Mapa final'!$O$76="Leve"),CONCATENATE("R",'Mapa final'!$A$76),"")</f>
        <v/>
      </c>
      <c r="Q14" s="471"/>
      <c r="R14" s="471" t="str">
        <f>IF(AND('Mapa final'!$K$79="Muy Alta",'Mapa final'!$O$79="Leve"),CONCATENATE("R",'Mapa final'!$A$79),"")</f>
        <v/>
      </c>
      <c r="S14" s="471"/>
      <c r="T14" s="473" t="str">
        <f>IF(AND('Mapa final'!$K$64="Muy Alta",'Mapa final'!$O$64="Menor"),CONCATENATE("R",'Mapa final'!$A$64),"")</f>
        <v/>
      </c>
      <c r="U14" s="471"/>
      <c r="V14" s="471" t="str">
        <f>IF(AND('Mapa final'!$K$67="Muy Alta",'Mapa final'!$O$67="Menor"),CONCATENATE("R",'Mapa final'!$A$67),"")</f>
        <v/>
      </c>
      <c r="W14" s="471"/>
      <c r="X14" s="471" t="str">
        <f>IF(AND('Mapa final'!$K$73="Muy Alta",'Mapa final'!$O$73="Menor"),CONCATENATE("R",'Mapa final'!$A$73),"")</f>
        <v/>
      </c>
      <c r="Y14" s="471"/>
      <c r="Z14" s="471" t="str">
        <f>IF(AND('Mapa final'!$K$76="Muy Alta",'Mapa final'!$O$76="Menor"),CONCATENATE("R",'Mapa final'!$A$76),"")</f>
        <v/>
      </c>
      <c r="AA14" s="471"/>
      <c r="AB14" s="471" t="str">
        <f>IF(AND('Mapa final'!$K$79="Muy Alta",'Mapa final'!$O$79="Menor"),CONCATENATE("R",'Mapa final'!$A$79),"")</f>
        <v/>
      </c>
      <c r="AC14" s="472"/>
      <c r="AD14" s="473" t="str">
        <f>IF(AND('Mapa final'!$K$64="Muy Alta",'Mapa final'!$O$64="Moderado"),CONCATENATE("R",'Mapa final'!$A$64),"")</f>
        <v/>
      </c>
      <c r="AE14" s="471"/>
      <c r="AF14" s="471" t="str">
        <f>IF(AND('Mapa final'!$K$67="Muy Alta",'Mapa final'!$O$67="Moderado"),CONCATENATE("R",'Mapa final'!$A$67),"")</f>
        <v/>
      </c>
      <c r="AG14" s="471"/>
      <c r="AH14" s="471" t="str">
        <f>IF(AND('Mapa final'!$K$73="Muy Alta",'Mapa final'!$O$73="Moderado"),CONCATENATE("R",'Mapa final'!$A$73),"")</f>
        <v/>
      </c>
      <c r="AI14" s="471"/>
      <c r="AJ14" s="471" t="str">
        <f>IF(AND('Mapa final'!$K$76="Muy Alta",'Mapa final'!$O$76="Moderado"),CONCATENATE("R",'Mapa final'!$A$76),"")</f>
        <v/>
      </c>
      <c r="AK14" s="471"/>
      <c r="AL14" s="471" t="str">
        <f>IF(AND('Mapa final'!$K$79="Muy Alta",'Mapa final'!$O$79="Moderado"),CONCATENATE("R",'Mapa final'!$A$79),"")</f>
        <v/>
      </c>
      <c r="AM14" s="472"/>
      <c r="AN14" s="473" t="str">
        <f>IF(AND('Mapa final'!$K$64="Muy Alta",'Mapa final'!$O$64="Mayor"),CONCATENATE("R",'Mapa final'!$A$64),"")</f>
        <v/>
      </c>
      <c r="AO14" s="471"/>
      <c r="AP14" s="471" t="str">
        <f>IF(AND('Mapa final'!$K$67="Muy Alta",'Mapa final'!$O$67="Mayor"),CONCATENATE("R",'Mapa final'!$A$67),"")</f>
        <v/>
      </c>
      <c r="AQ14" s="471"/>
      <c r="AR14" s="471" t="str">
        <f>IF(AND('Mapa final'!$K$73="Muy Alta",'Mapa final'!$O$73="Mayor"),CONCATENATE("R",'Mapa final'!$A$73),"")</f>
        <v/>
      </c>
      <c r="AS14" s="471"/>
      <c r="AT14" s="471" t="str">
        <f>IF(AND('Mapa final'!$K$76="Muy Alta",'Mapa final'!$O$76="Mayor"),CONCATENATE("R",'Mapa final'!$A$76),"")</f>
        <v/>
      </c>
      <c r="AU14" s="471"/>
      <c r="AV14" s="471" t="str">
        <f>IF(AND('Mapa final'!$K$79="Muy Alta",'Mapa final'!$O$79="Mayor"),CONCATENATE("R",'Mapa final'!$A$79),"")</f>
        <v/>
      </c>
      <c r="AW14" s="472"/>
      <c r="AX14" s="467" t="str">
        <f>IF(AND('Mapa final'!$K$64="Muy Alta",'Mapa final'!$O$64="Catastrófico"),CONCATENATE("R",'Mapa final'!$A$64),"")</f>
        <v/>
      </c>
      <c r="AY14" s="465"/>
      <c r="AZ14" s="465" t="str">
        <f>IF(AND('Mapa final'!$K$67="Muy Alta",'Mapa final'!$O$67="Catastrófico"),CONCATENATE("R",'Mapa final'!$A$67),"")</f>
        <v/>
      </c>
      <c r="BA14" s="465"/>
      <c r="BB14" s="465" t="str">
        <f>IF(AND('Mapa final'!$K$73="Muy Alta",'Mapa final'!$O$73="Catastrófico"),CONCATENATE("R",'Mapa final'!$A$73),"")</f>
        <v/>
      </c>
      <c r="BC14" s="465"/>
      <c r="BD14" s="465" t="str">
        <f>IF(AND('Mapa final'!$K$76="Muy Alta",'Mapa final'!$O$76="Catastrófico"),CONCATENATE("R",'Mapa final'!$A$76),"")</f>
        <v/>
      </c>
      <c r="BE14" s="465"/>
      <c r="BF14" s="465" t="str">
        <f>IF(AND('Mapa final'!$K$79="Muy Alta",'Mapa final'!$O$79="Catastrófico"),CONCATENATE("R",'Mapa final'!$A$79),"")</f>
        <v/>
      </c>
      <c r="BG14" s="466"/>
      <c r="BH14" s="55"/>
      <c r="BI14" s="496" t="s">
        <v>73</v>
      </c>
      <c r="BJ14" s="497"/>
      <c r="BK14" s="497"/>
      <c r="BL14" s="497"/>
      <c r="BM14" s="497"/>
      <c r="BN14" s="498"/>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row>
    <row r="15" spans="1:119" ht="15" customHeight="1" x14ac:dyDescent="0.25">
      <c r="A15" s="55"/>
      <c r="B15" s="316"/>
      <c r="C15" s="316"/>
      <c r="D15" s="317"/>
      <c r="E15" s="534"/>
      <c r="F15" s="535"/>
      <c r="G15" s="535"/>
      <c r="H15" s="535"/>
      <c r="I15" s="539"/>
      <c r="J15" s="471"/>
      <c r="K15" s="471"/>
      <c r="L15" s="471"/>
      <c r="M15" s="471"/>
      <c r="N15" s="471"/>
      <c r="O15" s="471"/>
      <c r="P15" s="471"/>
      <c r="Q15" s="471"/>
      <c r="R15" s="471"/>
      <c r="S15" s="471"/>
      <c r="T15" s="473"/>
      <c r="U15" s="471"/>
      <c r="V15" s="471"/>
      <c r="W15" s="471"/>
      <c r="X15" s="471"/>
      <c r="Y15" s="471"/>
      <c r="Z15" s="471"/>
      <c r="AA15" s="471"/>
      <c r="AB15" s="471"/>
      <c r="AC15" s="472"/>
      <c r="AD15" s="473"/>
      <c r="AE15" s="471"/>
      <c r="AF15" s="471"/>
      <c r="AG15" s="471"/>
      <c r="AH15" s="471"/>
      <c r="AI15" s="471"/>
      <c r="AJ15" s="471"/>
      <c r="AK15" s="471"/>
      <c r="AL15" s="471"/>
      <c r="AM15" s="472"/>
      <c r="AN15" s="473"/>
      <c r="AO15" s="471"/>
      <c r="AP15" s="471"/>
      <c r="AQ15" s="471"/>
      <c r="AR15" s="471"/>
      <c r="AS15" s="471"/>
      <c r="AT15" s="471"/>
      <c r="AU15" s="471"/>
      <c r="AV15" s="471"/>
      <c r="AW15" s="472"/>
      <c r="AX15" s="467"/>
      <c r="AY15" s="465"/>
      <c r="AZ15" s="465"/>
      <c r="BA15" s="465"/>
      <c r="BB15" s="465"/>
      <c r="BC15" s="465"/>
      <c r="BD15" s="465"/>
      <c r="BE15" s="465"/>
      <c r="BF15" s="465"/>
      <c r="BG15" s="466"/>
      <c r="BH15" s="55"/>
      <c r="BI15" s="499"/>
      <c r="BJ15" s="500"/>
      <c r="BK15" s="500"/>
      <c r="BL15" s="500"/>
      <c r="BM15" s="500"/>
      <c r="BN15" s="501"/>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L15" s="55"/>
      <c r="CM15" s="55"/>
      <c r="CN15" s="55"/>
      <c r="CO15" s="55"/>
      <c r="CP15" s="55"/>
      <c r="CQ15" s="55"/>
      <c r="CR15" s="55"/>
      <c r="CS15" s="55"/>
      <c r="CT15" s="55"/>
      <c r="CU15" s="55"/>
      <c r="CV15" s="55"/>
    </row>
    <row r="16" spans="1:119" ht="15" customHeight="1" x14ac:dyDescent="0.25">
      <c r="A16" s="55"/>
      <c r="B16" s="316"/>
      <c r="C16" s="316"/>
      <c r="D16" s="317"/>
      <c r="E16" s="534"/>
      <c r="F16" s="535"/>
      <c r="G16" s="535"/>
      <c r="H16" s="535"/>
      <c r="I16" s="539"/>
      <c r="J16" s="471" t="str">
        <f>IF(AND('Mapa final'!$K$82="Muy Alta",'Mapa final'!$O$82="Leve"),CONCATENATE("R",'Mapa final'!$A$82),"")</f>
        <v/>
      </c>
      <c r="K16" s="471"/>
      <c r="L16" s="471" t="str">
        <f>IF(AND('Mapa final'!$K$85="Muy Alta",'Mapa final'!$O$85="Leve"),CONCATENATE("R",'Mapa final'!$A$85),"")</f>
        <v/>
      </c>
      <c r="M16" s="471"/>
      <c r="N16" s="471" t="str">
        <f>IF(AND('Mapa final'!$K$88="Muy Alta",'Mapa final'!$O$88="Leve"),CONCATENATE("R",'Mapa final'!$A$88),"")</f>
        <v/>
      </c>
      <c r="O16" s="471"/>
      <c r="P16" s="471" t="str">
        <f>IF(AND('Mapa final'!$K$91="Muy Alta",'Mapa final'!$O$91="Leve"),CONCATENATE("R",'Mapa final'!$A$91),"")</f>
        <v/>
      </c>
      <c r="Q16" s="471"/>
      <c r="R16" s="471" t="str">
        <f>IF(AND('Mapa final'!$K$94="Muy Alta",'Mapa final'!$O$94="Leve"),CONCATENATE("R",'Mapa final'!$A$94),"")</f>
        <v/>
      </c>
      <c r="S16" s="471"/>
      <c r="T16" s="473" t="str">
        <f>IF(AND('Mapa final'!$K$82="Muy Alta",'Mapa final'!$O$82="Menor"),CONCATENATE("R",'Mapa final'!$A$82),"")</f>
        <v/>
      </c>
      <c r="U16" s="471"/>
      <c r="V16" s="471" t="str">
        <f>IF(AND('Mapa final'!$K$85="Muy Alta",'Mapa final'!$O$85="Menor"),CONCATENATE("R",'Mapa final'!$A$85),"")</f>
        <v/>
      </c>
      <c r="W16" s="471"/>
      <c r="X16" s="471" t="str">
        <f>IF(AND('Mapa final'!$K$88="Muy Alta",'Mapa final'!$O$88="Menor"),CONCATENATE("R",'Mapa final'!$A$88),"")</f>
        <v/>
      </c>
      <c r="Y16" s="471"/>
      <c r="Z16" s="471" t="str">
        <f>IF(AND('Mapa final'!$K$91="Muy Alta",'Mapa final'!$O$91="Menor"),CONCATENATE("R",'Mapa final'!$A$91),"")</f>
        <v/>
      </c>
      <c r="AA16" s="471"/>
      <c r="AB16" s="471" t="str">
        <f>IF(AND('Mapa final'!$K$94="Muy Alta",'Mapa final'!$O$94="Menor"),CONCATENATE("R",'Mapa final'!$A$94),"")</f>
        <v/>
      </c>
      <c r="AC16" s="472"/>
      <c r="AD16" s="473" t="str">
        <f>IF(AND('Mapa final'!$K$82="Muy Alta",'Mapa final'!$O$82="Moderado"),CONCATENATE("R",'Mapa final'!$A$82),"")</f>
        <v/>
      </c>
      <c r="AE16" s="471"/>
      <c r="AF16" s="471" t="str">
        <f>IF(AND('Mapa final'!$K$85="Muy Alta",'Mapa final'!$O$85="Moderado"),CONCATENATE("R",'Mapa final'!$A$85),"")</f>
        <v/>
      </c>
      <c r="AG16" s="471"/>
      <c r="AH16" s="471" t="str">
        <f>IF(AND('Mapa final'!$K$88="Muy Alta",'Mapa final'!$O$88="Moderado"),CONCATENATE("R",'Mapa final'!$A$88),"")</f>
        <v/>
      </c>
      <c r="AI16" s="471"/>
      <c r="AJ16" s="471" t="str">
        <f>IF(AND('Mapa final'!$K$91="Muy Alta",'Mapa final'!$O$91="Moderado"),CONCATENATE("R",'Mapa final'!$A$91),"")</f>
        <v/>
      </c>
      <c r="AK16" s="471"/>
      <c r="AL16" s="471" t="str">
        <f>IF(AND('Mapa final'!$K$94="Muy Alta",'Mapa final'!$O$94="Moderado"),CONCATENATE("R",'Mapa final'!$A$94),"")</f>
        <v/>
      </c>
      <c r="AM16" s="472"/>
      <c r="AN16" s="473" t="str">
        <f>IF(AND('Mapa final'!$K$82="Muy Alta",'Mapa final'!$O$82="Mayor"),CONCATENATE("R",'Mapa final'!$A$82),"")</f>
        <v/>
      </c>
      <c r="AO16" s="471"/>
      <c r="AP16" s="471" t="str">
        <f>IF(AND('Mapa final'!$K$85="Muy Alta",'Mapa final'!$O$85="Mayor"),CONCATENATE("R",'Mapa final'!$A$85),"")</f>
        <v/>
      </c>
      <c r="AQ16" s="471"/>
      <c r="AR16" s="471" t="str">
        <f>IF(AND('Mapa final'!$K$88="Muy Alta",'Mapa final'!$O$88="Mayor"),CONCATENATE("R",'Mapa final'!$A$88),"")</f>
        <v/>
      </c>
      <c r="AS16" s="471"/>
      <c r="AT16" s="471" t="str">
        <f>IF(AND('Mapa final'!$K$91="Muy Alta",'Mapa final'!$O$91="Mayor"),CONCATENATE("R",'Mapa final'!$A$91),"")</f>
        <v/>
      </c>
      <c r="AU16" s="471"/>
      <c r="AV16" s="471" t="str">
        <f>IF(AND('Mapa final'!$K$94="Muy Alta",'Mapa final'!$O$94="Mayor"),CONCATENATE("R",'Mapa final'!$A$94),"")</f>
        <v/>
      </c>
      <c r="AW16" s="472"/>
      <c r="AX16" s="467" t="str">
        <f>IF(AND('Mapa final'!$K$82="Muy Alta",'Mapa final'!$O$82="Catastrófico"),CONCATENATE("R",'Mapa final'!$A$82),"")</f>
        <v/>
      </c>
      <c r="AY16" s="465"/>
      <c r="AZ16" s="465" t="str">
        <f>IF(AND('Mapa final'!$K$85="Muy Alta",'Mapa final'!$O$85="Catastrófico"),CONCATENATE("R",'Mapa final'!$A$85),"")</f>
        <v/>
      </c>
      <c r="BA16" s="465"/>
      <c r="BB16" s="465" t="str">
        <f>IF(AND('Mapa final'!$K$88="Muy Alta",'Mapa final'!$O$88="Catastrófico"),CONCATENATE("R",'Mapa final'!$A$88),"")</f>
        <v/>
      </c>
      <c r="BC16" s="465"/>
      <c r="BD16" s="465" t="str">
        <f>IF(AND('Mapa final'!$K$91="Muy Alta",'Mapa final'!$O$91="Catastrófico"),CONCATENATE("R",'Mapa final'!$A$91),"")</f>
        <v/>
      </c>
      <c r="BE16" s="465"/>
      <c r="BF16" s="465" t="str">
        <f>IF(AND('Mapa final'!$K$94="Muy Alta",'Mapa final'!$O$94="Catastrófico"),CONCATENATE("R",'Mapa final'!$A$94),"")</f>
        <v/>
      </c>
      <c r="BG16" s="466"/>
      <c r="BH16" s="55"/>
      <c r="BI16" s="499"/>
      <c r="BJ16" s="500"/>
      <c r="BK16" s="500"/>
      <c r="BL16" s="500"/>
      <c r="BM16" s="500"/>
      <c r="BN16" s="501"/>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L16" s="55"/>
      <c r="CM16" s="55"/>
      <c r="CN16" s="55"/>
      <c r="CO16" s="55"/>
      <c r="CP16" s="55"/>
      <c r="CQ16" s="55"/>
      <c r="CR16" s="55"/>
      <c r="CS16" s="55"/>
      <c r="CT16" s="55"/>
      <c r="CU16" s="55"/>
      <c r="CV16" s="55"/>
    </row>
    <row r="17" spans="1:100" ht="15" customHeight="1" x14ac:dyDescent="0.25">
      <c r="A17" s="55"/>
      <c r="B17" s="316"/>
      <c r="C17" s="316"/>
      <c r="D17" s="317"/>
      <c r="E17" s="534"/>
      <c r="F17" s="535"/>
      <c r="G17" s="535"/>
      <c r="H17" s="535"/>
      <c r="I17" s="539"/>
      <c r="J17" s="471"/>
      <c r="K17" s="471"/>
      <c r="L17" s="471"/>
      <c r="M17" s="471"/>
      <c r="N17" s="471"/>
      <c r="O17" s="471"/>
      <c r="P17" s="471"/>
      <c r="Q17" s="471"/>
      <c r="R17" s="471"/>
      <c r="S17" s="471"/>
      <c r="T17" s="473"/>
      <c r="U17" s="471"/>
      <c r="V17" s="471"/>
      <c r="W17" s="471"/>
      <c r="X17" s="471"/>
      <c r="Y17" s="471"/>
      <c r="Z17" s="471"/>
      <c r="AA17" s="471"/>
      <c r="AB17" s="471"/>
      <c r="AC17" s="472"/>
      <c r="AD17" s="473"/>
      <c r="AE17" s="471"/>
      <c r="AF17" s="471"/>
      <c r="AG17" s="471"/>
      <c r="AH17" s="471"/>
      <c r="AI17" s="471"/>
      <c r="AJ17" s="471"/>
      <c r="AK17" s="471"/>
      <c r="AL17" s="471"/>
      <c r="AM17" s="472"/>
      <c r="AN17" s="473"/>
      <c r="AO17" s="471"/>
      <c r="AP17" s="471"/>
      <c r="AQ17" s="471"/>
      <c r="AR17" s="471"/>
      <c r="AS17" s="471"/>
      <c r="AT17" s="471"/>
      <c r="AU17" s="471"/>
      <c r="AV17" s="471"/>
      <c r="AW17" s="472"/>
      <c r="AX17" s="467"/>
      <c r="AY17" s="465"/>
      <c r="AZ17" s="465"/>
      <c r="BA17" s="465"/>
      <c r="BB17" s="465"/>
      <c r="BC17" s="465"/>
      <c r="BD17" s="465"/>
      <c r="BE17" s="465"/>
      <c r="BF17" s="465"/>
      <c r="BG17" s="466"/>
      <c r="BH17" s="55"/>
      <c r="BI17" s="499"/>
      <c r="BJ17" s="500"/>
      <c r="BK17" s="500"/>
      <c r="BL17" s="500"/>
      <c r="BM17" s="500"/>
      <c r="BN17" s="501"/>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L17" s="55"/>
      <c r="CM17" s="55"/>
      <c r="CN17" s="55"/>
      <c r="CO17" s="55"/>
      <c r="CP17" s="55"/>
      <c r="CQ17" s="55"/>
      <c r="CR17" s="55"/>
      <c r="CS17" s="55"/>
      <c r="CT17" s="55"/>
      <c r="CU17" s="55"/>
      <c r="CV17" s="55"/>
    </row>
    <row r="18" spans="1:100" ht="15" customHeight="1" x14ac:dyDescent="0.25">
      <c r="A18" s="55"/>
      <c r="B18" s="316"/>
      <c r="C18" s="316"/>
      <c r="D18" s="317"/>
      <c r="E18" s="534"/>
      <c r="F18" s="535"/>
      <c r="G18" s="535"/>
      <c r="H18" s="535"/>
      <c r="I18" s="539"/>
      <c r="J18" s="471" t="str">
        <f>IF(AND('Mapa final'!$K$97="Muy Alta",'Mapa final'!$O$97="Leve"),CONCATENATE("R",'Mapa final'!$A$97),"")</f>
        <v/>
      </c>
      <c r="K18" s="471"/>
      <c r="L18" s="471" t="e">
        <f>IF(AND('Mapa final'!#REF!="Muy Alta",'Mapa final'!#REF!="Leve"),CONCATENATE("R",'Mapa final'!#REF!),"")</f>
        <v>#REF!</v>
      </c>
      <c r="M18" s="471"/>
      <c r="N18" s="471" t="str">
        <f>IF(AND('Mapa final'!$K$100="Muy Alta",'Mapa final'!$O$100="Leve"),CONCATENATE("R",'Mapa final'!$A$100),"")</f>
        <v/>
      </c>
      <c r="O18" s="471"/>
      <c r="P18" s="471" t="str">
        <f>IF(AND('Mapa final'!$K$103="Muy Alta",'Mapa final'!$O$103="Leve"),CONCATENATE("R",'Mapa final'!$A$103),"")</f>
        <v/>
      </c>
      <c r="Q18" s="471"/>
      <c r="R18" s="471" t="str">
        <f>IF(AND('Mapa final'!$K$106="Muy Alta",'Mapa final'!$O$106="Leve"),CONCATENATE("R",'Mapa final'!$A$106),"")</f>
        <v/>
      </c>
      <c r="S18" s="471"/>
      <c r="T18" s="473" t="str">
        <f>IF(AND('Mapa final'!$K$97="Muy Alta",'Mapa final'!$O$97="Menor"),CONCATENATE("R",'Mapa final'!$A$97),"")</f>
        <v/>
      </c>
      <c r="U18" s="471"/>
      <c r="V18" s="471" t="e">
        <f>IF(AND('Mapa final'!#REF!="Muy Alta",'Mapa final'!#REF!="Menor"),CONCATENATE("R",'Mapa final'!#REF!),"")</f>
        <v>#REF!</v>
      </c>
      <c r="W18" s="471"/>
      <c r="X18" s="471" t="str">
        <f>IF(AND('Mapa final'!$K$100="Muy Alta",'Mapa final'!$O$100="Menor"),CONCATENATE("R",'Mapa final'!$A$100),"")</f>
        <v/>
      </c>
      <c r="Y18" s="471"/>
      <c r="Z18" s="471" t="str">
        <f>IF(AND('Mapa final'!$K$103="Muy Alta",'Mapa final'!$O$103="Menor"),CONCATENATE("R",'Mapa final'!$A$103),"")</f>
        <v/>
      </c>
      <c r="AA18" s="471"/>
      <c r="AB18" s="471" t="str">
        <f>IF(AND('Mapa final'!$K$106="Muy Alta",'Mapa final'!$O$106="Menor"),CONCATENATE("R",'Mapa final'!$A$106),"")</f>
        <v/>
      </c>
      <c r="AC18" s="472"/>
      <c r="AD18" s="473" t="str">
        <f>IF(AND('Mapa final'!$K$97="Muy Alta",'Mapa final'!$O$97="Moderado"),CONCATENATE("R",'Mapa final'!$A$97),"")</f>
        <v/>
      </c>
      <c r="AE18" s="471"/>
      <c r="AF18" s="471" t="e">
        <f>IF(AND('Mapa final'!#REF!="Muy Alta",'Mapa final'!#REF!="Moderado"),CONCATENATE("R",'Mapa final'!#REF!),"")</f>
        <v>#REF!</v>
      </c>
      <c r="AG18" s="471"/>
      <c r="AH18" s="471" t="str">
        <f>IF(AND('Mapa final'!$K$100="Muy Alta",'Mapa final'!$O$100="Moderado"),CONCATENATE("R",'Mapa final'!$A$100),"")</f>
        <v/>
      </c>
      <c r="AI18" s="471"/>
      <c r="AJ18" s="471" t="str">
        <f>IF(AND('Mapa final'!$K$103="Muy Alta",'Mapa final'!$O$103="Moderado"),CONCATENATE("R",'Mapa final'!$A$103),"")</f>
        <v/>
      </c>
      <c r="AK18" s="471"/>
      <c r="AL18" s="471" t="str">
        <f>IF(AND('Mapa final'!$K$106="Muy Alta",'Mapa final'!$O$106="Moderado"),CONCATENATE("R",'Mapa final'!$A$106),"")</f>
        <v/>
      </c>
      <c r="AM18" s="472"/>
      <c r="AN18" s="473" t="str">
        <f>IF(AND('Mapa final'!$K$97="Muy Alta",'Mapa final'!$O$97="Mayor"),CONCATENATE("R",'Mapa final'!$A$97),"")</f>
        <v/>
      </c>
      <c r="AO18" s="471"/>
      <c r="AP18" s="471" t="e">
        <f>IF(AND('Mapa final'!#REF!="Muy Alta",'Mapa final'!#REF!="Mayor"),CONCATENATE("R",'Mapa final'!#REF!),"")</f>
        <v>#REF!</v>
      </c>
      <c r="AQ18" s="471"/>
      <c r="AR18" s="471" t="str">
        <f>IF(AND('Mapa final'!$K$100="Muy Alta",'Mapa final'!$O$100="Mayor"),CONCATENATE("R",'Mapa final'!$A$100),"")</f>
        <v/>
      </c>
      <c r="AS18" s="471"/>
      <c r="AT18" s="471" t="str">
        <f>IF(AND('Mapa final'!$K$103="Muy Alta",'Mapa final'!$O$103="Mayor"),CONCATENATE("R",'Mapa final'!$A$103),"")</f>
        <v/>
      </c>
      <c r="AU18" s="471"/>
      <c r="AV18" s="471" t="str">
        <f>IF(AND('Mapa final'!$K$106="Muy Alta",'Mapa final'!$O$106="Mayor"),CONCATENATE("R",'Mapa final'!$A$106),"")</f>
        <v/>
      </c>
      <c r="AW18" s="472"/>
      <c r="AX18" s="467" t="str">
        <f>IF(AND('Mapa final'!$K$97="Muy Alta",'Mapa final'!$O$97="Catastrófico"),CONCATENATE("R",'Mapa final'!$A$97),"")</f>
        <v/>
      </c>
      <c r="AY18" s="465"/>
      <c r="AZ18" s="465" t="e">
        <f>IF(AND('Mapa final'!#REF!="Muy Alta",'Mapa final'!#REF!="Catastrófico"),CONCATENATE("R",'Mapa final'!#REF!),"")</f>
        <v>#REF!</v>
      </c>
      <c r="BA18" s="465"/>
      <c r="BB18" s="465" t="str">
        <f>IF(AND('Mapa final'!$K$100="Muy Alta",'Mapa final'!$O$100="Catastrófico"),CONCATENATE("R",'Mapa final'!$A$100),"")</f>
        <v/>
      </c>
      <c r="BC18" s="465"/>
      <c r="BD18" s="465" t="str">
        <f>IF(AND('Mapa final'!$K$103="Muy Alta",'Mapa final'!$O$103="Catastrófico"),CONCATENATE("R",'Mapa final'!$A$103),"")</f>
        <v/>
      </c>
      <c r="BE18" s="465"/>
      <c r="BF18" s="465" t="str">
        <f>IF(AND('Mapa final'!$K$106="Muy Alta",'Mapa final'!$O$106="Catastrófico"),CONCATENATE("R",'Mapa final'!$A$106),"")</f>
        <v/>
      </c>
      <c r="BG18" s="466"/>
      <c r="BH18" s="55"/>
      <c r="BI18" s="499"/>
      <c r="BJ18" s="500"/>
      <c r="BK18" s="500"/>
      <c r="BL18" s="500"/>
      <c r="BM18" s="500"/>
      <c r="BN18" s="501"/>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L18" s="55"/>
      <c r="CM18" s="55"/>
      <c r="CN18" s="55"/>
      <c r="CO18" s="55"/>
      <c r="CP18" s="55"/>
      <c r="CQ18" s="55"/>
      <c r="CR18" s="55"/>
      <c r="CS18" s="55"/>
      <c r="CT18" s="55"/>
      <c r="CU18" s="55"/>
      <c r="CV18" s="55"/>
    </row>
    <row r="19" spans="1:100" ht="15" customHeight="1" x14ac:dyDescent="0.25">
      <c r="A19" s="55"/>
      <c r="B19" s="316"/>
      <c r="C19" s="316"/>
      <c r="D19" s="317"/>
      <c r="E19" s="534"/>
      <c r="F19" s="535"/>
      <c r="G19" s="535"/>
      <c r="H19" s="535"/>
      <c r="I19" s="539"/>
      <c r="J19" s="471"/>
      <c r="K19" s="471"/>
      <c r="L19" s="471"/>
      <c r="M19" s="471"/>
      <c r="N19" s="471"/>
      <c r="O19" s="471"/>
      <c r="P19" s="471"/>
      <c r="Q19" s="471"/>
      <c r="R19" s="471"/>
      <c r="S19" s="471"/>
      <c r="T19" s="473"/>
      <c r="U19" s="471"/>
      <c r="V19" s="471"/>
      <c r="W19" s="471"/>
      <c r="X19" s="471"/>
      <c r="Y19" s="471"/>
      <c r="Z19" s="471"/>
      <c r="AA19" s="471"/>
      <c r="AB19" s="471"/>
      <c r="AC19" s="472"/>
      <c r="AD19" s="473"/>
      <c r="AE19" s="471"/>
      <c r="AF19" s="471"/>
      <c r="AG19" s="471"/>
      <c r="AH19" s="471"/>
      <c r="AI19" s="471"/>
      <c r="AJ19" s="471"/>
      <c r="AK19" s="471"/>
      <c r="AL19" s="471"/>
      <c r="AM19" s="472"/>
      <c r="AN19" s="473"/>
      <c r="AO19" s="471"/>
      <c r="AP19" s="471"/>
      <c r="AQ19" s="471"/>
      <c r="AR19" s="471"/>
      <c r="AS19" s="471"/>
      <c r="AT19" s="471"/>
      <c r="AU19" s="471"/>
      <c r="AV19" s="471"/>
      <c r="AW19" s="472"/>
      <c r="AX19" s="467"/>
      <c r="AY19" s="465"/>
      <c r="AZ19" s="465"/>
      <c r="BA19" s="465"/>
      <c r="BB19" s="465"/>
      <c r="BC19" s="465"/>
      <c r="BD19" s="465"/>
      <c r="BE19" s="465"/>
      <c r="BF19" s="465"/>
      <c r="BG19" s="466"/>
      <c r="BH19" s="55"/>
      <c r="BI19" s="499"/>
      <c r="BJ19" s="500"/>
      <c r="BK19" s="500"/>
      <c r="BL19" s="500"/>
      <c r="BM19" s="500"/>
      <c r="BN19" s="501"/>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row>
    <row r="20" spans="1:100" ht="15" customHeight="1" x14ac:dyDescent="0.25">
      <c r="A20" s="55"/>
      <c r="B20" s="316"/>
      <c r="C20" s="316"/>
      <c r="D20" s="317"/>
      <c r="E20" s="534"/>
      <c r="F20" s="535"/>
      <c r="G20" s="535"/>
      <c r="H20" s="535"/>
      <c r="I20" s="539"/>
      <c r="J20" s="471" t="str">
        <f>IF(AND('Mapa final'!$K$109="Muy Alta",'Mapa final'!$O$109="Leve"),CONCATENATE("R",'Mapa final'!$A$109),"")</f>
        <v/>
      </c>
      <c r="K20" s="471"/>
      <c r="L20" s="471" t="str">
        <f>IF(AND('Mapa final'!$K$112="Muy Alta",'Mapa final'!$O$112="Leve"),CONCATENATE("R",'Mapa final'!$A$112),"")</f>
        <v/>
      </c>
      <c r="M20" s="471"/>
      <c r="N20" s="471" t="str">
        <f>IF(AND('Mapa final'!$K$115="Muy Alta",'Mapa final'!$O$115="Leve"),CONCATENATE("R",'Mapa final'!$A$115),"")</f>
        <v/>
      </c>
      <c r="O20" s="471"/>
      <c r="P20" s="471" t="str">
        <f>IF(AND('Mapa final'!$K$118="Muy Alta",'Mapa final'!$O$118="Leve"),CONCATENATE("R",'Mapa final'!$A$118),"")</f>
        <v/>
      </c>
      <c r="Q20" s="471"/>
      <c r="R20" s="471" t="str">
        <f>IF(AND('Mapa final'!$K$121="Muy Alta",'Mapa final'!$O$121="Leve"),CONCATENATE("R",'Mapa final'!$A$121),"")</f>
        <v/>
      </c>
      <c r="S20" s="471"/>
      <c r="T20" s="473" t="str">
        <f>IF(AND('Mapa final'!$K$109="Muy Alta",'Mapa final'!$O$109="Menor"),CONCATENATE("R",'Mapa final'!$A$109),"")</f>
        <v/>
      </c>
      <c r="U20" s="471"/>
      <c r="V20" s="471" t="str">
        <f>IF(AND('Mapa final'!$K$112="Muy Alta",'Mapa final'!$O$112="Menor"),CONCATENATE("R",'Mapa final'!$A$112),"")</f>
        <v/>
      </c>
      <c r="W20" s="471"/>
      <c r="X20" s="471" t="str">
        <f>IF(AND('Mapa final'!$K$115="Muy Alta",'Mapa final'!$O$115="Menor"),CONCATENATE("R",'Mapa final'!$A$115),"")</f>
        <v/>
      </c>
      <c r="Y20" s="471"/>
      <c r="Z20" s="471" t="str">
        <f>IF(AND('Mapa final'!$K$118="Muy Alta",'Mapa final'!$O$118="Menor"),CONCATENATE("R",'Mapa final'!$A$118),"")</f>
        <v/>
      </c>
      <c r="AA20" s="471"/>
      <c r="AB20" s="471" t="str">
        <f>IF(AND('Mapa final'!$K$121="Muy Alta",'Mapa final'!$O$121="Menor"),CONCATENATE("R",'Mapa final'!$A$121),"")</f>
        <v/>
      </c>
      <c r="AC20" s="472"/>
      <c r="AD20" s="473" t="str">
        <f>IF(AND('Mapa final'!$K$109="Muy Alta",'Mapa final'!$O$109="Moderado"),CONCATENATE("R",'Mapa final'!$A$109),"")</f>
        <v/>
      </c>
      <c r="AE20" s="471"/>
      <c r="AF20" s="471" t="str">
        <f>IF(AND('Mapa final'!$K$112="Muy Alta",'Mapa final'!$O$112="Moderado"),CONCATENATE("R",'Mapa final'!$A$112),"")</f>
        <v/>
      </c>
      <c r="AG20" s="471"/>
      <c r="AH20" s="471" t="str">
        <f>IF(AND('Mapa final'!$K$115="Muy Alta",'Mapa final'!$O$115="Moderado"),CONCATENATE("R",'Mapa final'!$A$115),"")</f>
        <v/>
      </c>
      <c r="AI20" s="471"/>
      <c r="AJ20" s="471" t="str">
        <f>IF(AND('Mapa final'!$K$118="Muy Alta",'Mapa final'!$O$118="Moderado"),CONCATENATE("R",'Mapa final'!$A$118),"")</f>
        <v/>
      </c>
      <c r="AK20" s="471"/>
      <c r="AL20" s="471" t="str">
        <f>IF(AND('Mapa final'!$K$121="Muy Alta",'Mapa final'!$O$121="Moderado"),CONCATENATE("R",'Mapa final'!$A$121),"")</f>
        <v/>
      </c>
      <c r="AM20" s="472"/>
      <c r="AN20" s="473" t="str">
        <f>IF(AND('Mapa final'!$K$109="Muy Alta",'Mapa final'!$O$109="Mayor"),CONCATENATE("R",'Mapa final'!$A$109),"")</f>
        <v/>
      </c>
      <c r="AO20" s="471"/>
      <c r="AP20" s="471" t="str">
        <f>IF(AND('Mapa final'!$K$112="Muy Alta",'Mapa final'!$O$112="Mayor"),CONCATENATE("R",'Mapa final'!$A$112),"")</f>
        <v/>
      </c>
      <c r="AQ20" s="471"/>
      <c r="AR20" s="471" t="str">
        <f>IF(AND('Mapa final'!$K$115="Muy Alta",'Mapa final'!$O$115="Mayor"),CONCATENATE("R",'Mapa final'!$A$115),"")</f>
        <v/>
      </c>
      <c r="AS20" s="471"/>
      <c r="AT20" s="471" t="str">
        <f>IF(AND('Mapa final'!$K$118="Muy Alta",'Mapa final'!$O$118="Mayor"),CONCATENATE("R",'Mapa final'!$A$118),"")</f>
        <v/>
      </c>
      <c r="AU20" s="471"/>
      <c r="AV20" s="471" t="str">
        <f>IF(AND('Mapa final'!$K$121="Muy Alta",'Mapa final'!$O$121="Mayor"),CONCATENATE("R",'Mapa final'!$A$121),"")</f>
        <v/>
      </c>
      <c r="AW20" s="472"/>
      <c r="AX20" s="467" t="str">
        <f>IF(AND('Mapa final'!$K$109="Muy Alta",'Mapa final'!$O$109="Catastrófico"),CONCATENATE("R",'Mapa final'!$A$109),"")</f>
        <v/>
      </c>
      <c r="AY20" s="465"/>
      <c r="AZ20" s="465" t="str">
        <f>IF(AND('Mapa final'!$K$112="Muy Alta",'Mapa final'!$O$112="Catastrófico"),CONCATENATE("R",'Mapa final'!$A$112),"")</f>
        <v/>
      </c>
      <c r="BA20" s="465"/>
      <c r="BB20" s="465" t="str">
        <f>IF(AND('Mapa final'!$K$115="Muy Alta",'Mapa final'!$O$115="Catastrófico"),CONCATENATE("R",'Mapa final'!$A$115),"")</f>
        <v/>
      </c>
      <c r="BC20" s="465"/>
      <c r="BD20" s="465" t="str">
        <f>IF(AND('Mapa final'!$K$118="Muy Alta",'Mapa final'!$O$118="Catastrófico"),CONCATENATE("R",'Mapa final'!$A$118),"")</f>
        <v/>
      </c>
      <c r="BE20" s="465"/>
      <c r="BF20" s="465" t="str">
        <f>IF(AND('Mapa final'!$K$121="Muy Alta",'Mapa final'!$O$121="Catastrófico"),CONCATENATE("R",'Mapa final'!$A$121),"")</f>
        <v/>
      </c>
      <c r="BG20" s="466"/>
      <c r="BH20" s="55"/>
      <c r="BI20" s="499"/>
      <c r="BJ20" s="500"/>
      <c r="BK20" s="500"/>
      <c r="BL20" s="500"/>
      <c r="BM20" s="500"/>
      <c r="BN20" s="501"/>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L20" s="55"/>
      <c r="CM20" s="55"/>
      <c r="CN20" s="55"/>
      <c r="CO20" s="55"/>
      <c r="CP20" s="55"/>
      <c r="CQ20" s="55"/>
      <c r="CR20" s="55"/>
      <c r="CS20" s="55"/>
      <c r="CT20" s="55"/>
      <c r="CU20" s="55"/>
      <c r="CV20" s="55"/>
    </row>
    <row r="21" spans="1:100" ht="15" customHeight="1" x14ac:dyDescent="0.25">
      <c r="A21" s="55"/>
      <c r="B21" s="316"/>
      <c r="C21" s="316"/>
      <c r="D21" s="317"/>
      <c r="E21" s="534"/>
      <c r="F21" s="535"/>
      <c r="G21" s="535"/>
      <c r="H21" s="535"/>
      <c r="I21" s="539"/>
      <c r="J21" s="471"/>
      <c r="K21" s="471"/>
      <c r="L21" s="471"/>
      <c r="M21" s="471"/>
      <c r="N21" s="471"/>
      <c r="O21" s="471"/>
      <c r="P21" s="471"/>
      <c r="Q21" s="471"/>
      <c r="R21" s="471"/>
      <c r="S21" s="471"/>
      <c r="T21" s="473"/>
      <c r="U21" s="471"/>
      <c r="V21" s="471"/>
      <c r="W21" s="471"/>
      <c r="X21" s="471"/>
      <c r="Y21" s="471"/>
      <c r="Z21" s="471"/>
      <c r="AA21" s="471"/>
      <c r="AB21" s="471"/>
      <c r="AC21" s="472"/>
      <c r="AD21" s="473"/>
      <c r="AE21" s="471"/>
      <c r="AF21" s="471"/>
      <c r="AG21" s="471"/>
      <c r="AH21" s="471"/>
      <c r="AI21" s="471"/>
      <c r="AJ21" s="471"/>
      <c r="AK21" s="471"/>
      <c r="AL21" s="471"/>
      <c r="AM21" s="472"/>
      <c r="AN21" s="473"/>
      <c r="AO21" s="471"/>
      <c r="AP21" s="471"/>
      <c r="AQ21" s="471"/>
      <c r="AR21" s="471"/>
      <c r="AS21" s="471"/>
      <c r="AT21" s="471"/>
      <c r="AU21" s="471"/>
      <c r="AV21" s="471"/>
      <c r="AW21" s="472"/>
      <c r="AX21" s="467"/>
      <c r="AY21" s="465"/>
      <c r="AZ21" s="465"/>
      <c r="BA21" s="465"/>
      <c r="BB21" s="465"/>
      <c r="BC21" s="465"/>
      <c r="BD21" s="465"/>
      <c r="BE21" s="465"/>
      <c r="BF21" s="465"/>
      <c r="BG21" s="466"/>
      <c r="BH21" s="55"/>
      <c r="BI21" s="499"/>
      <c r="BJ21" s="500"/>
      <c r="BK21" s="500"/>
      <c r="BL21" s="500"/>
      <c r="BM21" s="500"/>
      <c r="BN21" s="501"/>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row>
    <row r="22" spans="1:100" ht="15" customHeight="1" x14ac:dyDescent="0.25">
      <c r="A22" s="55"/>
      <c r="B22" s="316"/>
      <c r="C22" s="316"/>
      <c r="D22" s="317"/>
      <c r="E22" s="534"/>
      <c r="F22" s="535"/>
      <c r="G22" s="535"/>
      <c r="H22" s="535"/>
      <c r="I22" s="539"/>
      <c r="J22" s="471" t="str">
        <f>IF(AND('Mapa final'!$K$124="Muy Alta",'Mapa final'!$O$124="Leve"),CONCATENATE("R",'Mapa final'!$A$124),"")</f>
        <v/>
      </c>
      <c r="K22" s="471"/>
      <c r="L22" s="471" t="str">
        <f>IF(AND('Mapa final'!$K$127="Muy Alta",'Mapa final'!$O$127="Leve"),CONCATENATE("R",'Mapa final'!$A$127),"")</f>
        <v/>
      </c>
      <c r="M22" s="471"/>
      <c r="N22" s="471" t="str">
        <f>IF(AND('Mapa final'!$K$130="Muy Alta",'Mapa final'!$O$130="Leve"),CONCATENATE("R",'Mapa final'!$A$130),"")</f>
        <v/>
      </c>
      <c r="O22" s="471"/>
      <c r="P22" s="471" t="str">
        <f>IF(AND('Mapa final'!$K$133="Muy Alta",'Mapa final'!$O$133="Leve"),CONCATENATE("R",'Mapa final'!$A$133),"")</f>
        <v/>
      </c>
      <c r="Q22" s="471"/>
      <c r="R22" s="471" t="str">
        <f>IF(AND('Mapa final'!$K$136="Muy Alta",'Mapa final'!$O$136="Leve"),CONCATENATE("R",'Mapa final'!$A$136),"")</f>
        <v/>
      </c>
      <c r="S22" s="471"/>
      <c r="T22" s="473" t="str">
        <f>IF(AND('Mapa final'!$K$124="Muy Alta",'Mapa final'!$O$124="Menor"),CONCATENATE("R",'Mapa final'!$A$124),"")</f>
        <v/>
      </c>
      <c r="U22" s="471"/>
      <c r="V22" s="471" t="str">
        <f>IF(AND('Mapa final'!$K$127="Muy Alta",'Mapa final'!$O$127="Menor"),CONCATENATE("R",'Mapa final'!$A$127),"")</f>
        <v/>
      </c>
      <c r="W22" s="471"/>
      <c r="X22" s="471" t="str">
        <f>IF(AND('Mapa final'!$K$130="Muy Alta",'Mapa final'!$O$130="Menor"),CONCATENATE("R",'Mapa final'!$A$130),"")</f>
        <v/>
      </c>
      <c r="Y22" s="471"/>
      <c r="Z22" s="471" t="str">
        <f>IF(AND('Mapa final'!$K$133="Muy Alta",'Mapa final'!$O$133="Menor"),CONCATENATE("R",'Mapa final'!$A$133),"")</f>
        <v/>
      </c>
      <c r="AA22" s="471"/>
      <c r="AB22" s="471" t="str">
        <f>IF(AND('Mapa final'!$K$136="Muy Alta",'Mapa final'!$O$136="Menor"),CONCATENATE("R",'Mapa final'!$A$136),"")</f>
        <v/>
      </c>
      <c r="AC22" s="472"/>
      <c r="AD22" s="473" t="str">
        <f>IF(AND('Mapa final'!$K$124="Muy Alta",'Mapa final'!$O$124="Moderado"),CONCATENATE("R",'Mapa final'!$A$124),"")</f>
        <v/>
      </c>
      <c r="AE22" s="471"/>
      <c r="AF22" s="471" t="str">
        <f>IF(AND('Mapa final'!$K$127="Muy Alta",'Mapa final'!$O$127="Moderado"),CONCATENATE("R",'Mapa final'!$A$127),"")</f>
        <v/>
      </c>
      <c r="AG22" s="471"/>
      <c r="AH22" s="471" t="str">
        <f>IF(AND('Mapa final'!$K$130="Muy Alta",'Mapa final'!$O$130="Moderado"),CONCATENATE("R",'Mapa final'!$A$130),"")</f>
        <v/>
      </c>
      <c r="AI22" s="471"/>
      <c r="AJ22" s="471" t="str">
        <f>IF(AND('Mapa final'!$K$133="Muy Alta",'Mapa final'!$O$133="Moderado"),CONCATENATE("R",'Mapa final'!$A$133),"")</f>
        <v/>
      </c>
      <c r="AK22" s="471"/>
      <c r="AL22" s="471" t="str">
        <f>IF(AND('Mapa final'!$K$136="Muy Alta",'Mapa final'!$O$136="Moderado"),CONCATENATE("R",'Mapa final'!$A$136),"")</f>
        <v/>
      </c>
      <c r="AM22" s="472"/>
      <c r="AN22" s="473" t="str">
        <f>IF(AND('Mapa final'!$K$124="Muy Alta",'Mapa final'!$O$124="Mayor"),CONCATENATE("R",'Mapa final'!$A$124),"")</f>
        <v/>
      </c>
      <c r="AO22" s="471"/>
      <c r="AP22" s="471" t="str">
        <f>IF(AND('Mapa final'!$K$127="Muy Alta",'Mapa final'!$O$127="Mayor"),CONCATENATE("R",'Mapa final'!$A$127),"")</f>
        <v/>
      </c>
      <c r="AQ22" s="471"/>
      <c r="AR22" s="471" t="str">
        <f>IF(AND('Mapa final'!$K$130="Muy Alta",'Mapa final'!$O$130="Mayor"),CONCATENATE("R",'Mapa final'!$A$130),"")</f>
        <v/>
      </c>
      <c r="AS22" s="471"/>
      <c r="AT22" s="471" t="str">
        <f>IF(AND('Mapa final'!$K$133="Muy Alta",'Mapa final'!$O$133="Mayor"),CONCATENATE("R",'Mapa final'!$A$133),"")</f>
        <v/>
      </c>
      <c r="AU22" s="471"/>
      <c r="AV22" s="471" t="str">
        <f>IF(AND('Mapa final'!$K$136="Muy Alta",'Mapa final'!$O$136="Mayor"),CONCATENATE("R",'Mapa final'!$A$136),"")</f>
        <v/>
      </c>
      <c r="AW22" s="472"/>
      <c r="AX22" s="467" t="str">
        <f>IF(AND('Mapa final'!$K$124="Muy Alta",'Mapa final'!$O$124="Catastrófico"),CONCATENATE("R",'Mapa final'!$A$124),"")</f>
        <v/>
      </c>
      <c r="AY22" s="465"/>
      <c r="AZ22" s="465" t="str">
        <f>IF(AND('Mapa final'!$K$127="Muy Alta",'Mapa final'!$O$127="Catastrófico"),CONCATENATE("R",'Mapa final'!$A$127),"")</f>
        <v/>
      </c>
      <c r="BA22" s="465"/>
      <c r="BB22" s="465" t="str">
        <f>IF(AND('Mapa final'!$K$130="Muy Alta",'Mapa final'!$O$130="Catastrófico"),CONCATENATE("R",'Mapa final'!$A$130),"")</f>
        <v/>
      </c>
      <c r="BC22" s="465"/>
      <c r="BD22" s="465" t="str">
        <f>IF(AND('Mapa final'!$K$133="Muy Alta",'Mapa final'!$O$133="Catastrófico"),CONCATENATE("R",'Mapa final'!$A$133),"")</f>
        <v/>
      </c>
      <c r="BE22" s="465"/>
      <c r="BF22" s="465" t="str">
        <f>IF(AND('Mapa final'!$K$136="Muy Alta",'Mapa final'!$O$136="Catastrófico"),CONCATENATE("R",'Mapa final'!$A$136),"")</f>
        <v/>
      </c>
      <c r="BG22" s="466"/>
      <c r="BH22" s="55"/>
      <c r="BI22" s="499"/>
      <c r="BJ22" s="500"/>
      <c r="BK22" s="500"/>
      <c r="BL22" s="500"/>
      <c r="BM22" s="500"/>
      <c r="BN22" s="501"/>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row>
    <row r="23" spans="1:100" ht="15" customHeight="1" x14ac:dyDescent="0.25">
      <c r="A23" s="55"/>
      <c r="B23" s="316"/>
      <c r="C23" s="316"/>
      <c r="D23" s="317"/>
      <c r="E23" s="534"/>
      <c r="F23" s="535"/>
      <c r="G23" s="535"/>
      <c r="H23" s="535"/>
      <c r="I23" s="539"/>
      <c r="J23" s="471"/>
      <c r="K23" s="471"/>
      <c r="L23" s="471"/>
      <c r="M23" s="471"/>
      <c r="N23" s="471"/>
      <c r="O23" s="471"/>
      <c r="P23" s="471"/>
      <c r="Q23" s="471"/>
      <c r="R23" s="471"/>
      <c r="S23" s="471"/>
      <c r="T23" s="473"/>
      <c r="U23" s="471"/>
      <c r="V23" s="471"/>
      <c r="W23" s="471"/>
      <c r="X23" s="471"/>
      <c r="Y23" s="471"/>
      <c r="Z23" s="471"/>
      <c r="AA23" s="471"/>
      <c r="AB23" s="471"/>
      <c r="AC23" s="472"/>
      <c r="AD23" s="473"/>
      <c r="AE23" s="471"/>
      <c r="AF23" s="471"/>
      <c r="AG23" s="471"/>
      <c r="AH23" s="471"/>
      <c r="AI23" s="471"/>
      <c r="AJ23" s="471"/>
      <c r="AK23" s="471"/>
      <c r="AL23" s="471"/>
      <c r="AM23" s="472"/>
      <c r="AN23" s="473"/>
      <c r="AO23" s="471"/>
      <c r="AP23" s="471"/>
      <c r="AQ23" s="471"/>
      <c r="AR23" s="471"/>
      <c r="AS23" s="471"/>
      <c r="AT23" s="471"/>
      <c r="AU23" s="471"/>
      <c r="AV23" s="471"/>
      <c r="AW23" s="472"/>
      <c r="AX23" s="467"/>
      <c r="AY23" s="465"/>
      <c r="AZ23" s="465"/>
      <c r="BA23" s="465"/>
      <c r="BB23" s="465"/>
      <c r="BC23" s="465"/>
      <c r="BD23" s="465"/>
      <c r="BE23" s="465"/>
      <c r="BF23" s="465"/>
      <c r="BG23" s="466"/>
      <c r="BH23" s="55"/>
      <c r="BI23" s="499"/>
      <c r="BJ23" s="500"/>
      <c r="BK23" s="500"/>
      <c r="BL23" s="500"/>
      <c r="BM23" s="500"/>
      <c r="BN23" s="501"/>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L23" s="55"/>
      <c r="CM23" s="55"/>
      <c r="CN23" s="55"/>
      <c r="CO23" s="55"/>
      <c r="CP23" s="55"/>
      <c r="CQ23" s="55"/>
      <c r="CR23" s="55"/>
      <c r="CS23" s="55"/>
      <c r="CT23" s="55"/>
      <c r="CU23" s="55"/>
      <c r="CV23" s="55"/>
    </row>
    <row r="24" spans="1:100" ht="15" customHeight="1" x14ac:dyDescent="0.25">
      <c r="A24" s="55"/>
      <c r="B24" s="316"/>
      <c r="C24" s="316"/>
      <c r="D24" s="317"/>
      <c r="E24" s="534"/>
      <c r="F24" s="535"/>
      <c r="G24" s="535"/>
      <c r="H24" s="535"/>
      <c r="I24" s="539"/>
      <c r="J24" s="471" t="str">
        <f>IF(AND('Mapa final'!$K$139="Muy Alta",'Mapa final'!$O$139="Leve"),CONCATENATE("R",'Mapa final'!$A$139),"")</f>
        <v/>
      </c>
      <c r="K24" s="471"/>
      <c r="L24" s="471" t="str">
        <f>IF(AND('Mapa final'!$K$142="Muy Alta",'Mapa final'!$O$142="Leve"),CONCATENATE("R",'Mapa final'!$A$142),"")</f>
        <v/>
      </c>
      <c r="M24" s="471"/>
      <c r="N24" s="471" t="str">
        <f>IF(AND('Mapa final'!$K$145="Muy Alta",'Mapa final'!$O$145="Leve"),CONCATENATE("R",'Mapa final'!$A$145),"")</f>
        <v/>
      </c>
      <c r="O24" s="471"/>
      <c r="P24" s="471" t="str">
        <f>IF(AND('Mapa final'!$K$148="Muy Alta",'Mapa final'!$O$148="Leve"),CONCATENATE("R",'Mapa final'!$A$148),"")</f>
        <v/>
      </c>
      <c r="Q24" s="471"/>
      <c r="R24" s="471" t="str">
        <f>IF(AND('Mapa final'!$K$151="Muy Alta",'Mapa final'!$O$151="Leve"),CONCATENATE("R",'Mapa final'!$A$151),"")</f>
        <v/>
      </c>
      <c r="S24" s="471"/>
      <c r="T24" s="473" t="str">
        <f>IF(AND('Mapa final'!$K$139="Muy Alta",'Mapa final'!$O$139="Menor"),CONCATENATE("R",'Mapa final'!$A$139),"")</f>
        <v/>
      </c>
      <c r="U24" s="471"/>
      <c r="V24" s="471" t="str">
        <f>IF(AND('Mapa final'!$K$142="Muy Alta",'Mapa final'!$O$142="Menor"),CONCATENATE("R",'Mapa final'!$A$142),"")</f>
        <v/>
      </c>
      <c r="W24" s="471"/>
      <c r="X24" s="471" t="str">
        <f>IF(AND('Mapa final'!$K$145="Muy Alta",'Mapa final'!$O$145="Menor"),CONCATENATE("R",'Mapa final'!$A$145),"")</f>
        <v/>
      </c>
      <c r="Y24" s="471"/>
      <c r="Z24" s="471" t="str">
        <f>IF(AND('Mapa final'!$K$148="Muy Alta",'Mapa final'!$O$148="Menor"),CONCATENATE("R",'Mapa final'!$A$148),"")</f>
        <v/>
      </c>
      <c r="AA24" s="471"/>
      <c r="AB24" s="471" t="str">
        <f>IF(AND('Mapa final'!$K$151="Muy Alta",'Mapa final'!$O$151="Menor"),CONCATENATE("R",'Mapa final'!$A$151),"")</f>
        <v/>
      </c>
      <c r="AC24" s="472"/>
      <c r="AD24" s="473" t="str">
        <f>IF(AND('Mapa final'!$K$139="Muy Alta",'Mapa final'!$O$139="Moderado"),CONCATENATE("R",'Mapa final'!$A$139),"")</f>
        <v/>
      </c>
      <c r="AE24" s="471"/>
      <c r="AF24" s="471" t="str">
        <f>IF(AND('Mapa final'!$K$142="Muy Alta",'Mapa final'!$O$142="Moderado"),CONCATENATE("R",'Mapa final'!$A$142),"")</f>
        <v/>
      </c>
      <c r="AG24" s="471"/>
      <c r="AH24" s="471" t="str">
        <f>IF(AND('Mapa final'!$K$145="Muy Alta",'Mapa final'!$O$145="Moderado"),CONCATENATE("R",'Mapa final'!$A$145),"")</f>
        <v/>
      </c>
      <c r="AI24" s="471"/>
      <c r="AJ24" s="471" t="str">
        <f>IF(AND('Mapa final'!$K$148="Muy Alta",'Mapa final'!$O$148="Moderado"),CONCATENATE("R",'Mapa final'!$A$148),"")</f>
        <v/>
      </c>
      <c r="AK24" s="471"/>
      <c r="AL24" s="471" t="str">
        <f>IF(AND('Mapa final'!$K$151="Muy Alta",'Mapa final'!$O$151="Moderado"),CONCATENATE("R",'Mapa final'!$A$151),"")</f>
        <v/>
      </c>
      <c r="AM24" s="472"/>
      <c r="AN24" s="473" t="str">
        <f>IF(AND('Mapa final'!$K$139="Muy Alta",'Mapa final'!$O$139="Mayor"),CONCATENATE("R",'Mapa final'!$A$139),"")</f>
        <v/>
      </c>
      <c r="AO24" s="471"/>
      <c r="AP24" s="471" t="str">
        <f>IF(AND('Mapa final'!$K$142="Muy Alta",'Mapa final'!$O$142="Mayor"),CONCATENATE("R",'Mapa final'!$A$142),"")</f>
        <v/>
      </c>
      <c r="AQ24" s="471"/>
      <c r="AR24" s="471" t="str">
        <f>IF(AND('Mapa final'!$K$145="Muy Alta",'Mapa final'!$O$145="Mayor"),CONCATENATE("R",'Mapa final'!$A$145),"")</f>
        <v/>
      </c>
      <c r="AS24" s="471"/>
      <c r="AT24" s="471" t="str">
        <f>IF(AND('Mapa final'!$K$148="Muy Alta",'Mapa final'!$O$148="Mayor"),CONCATENATE("R",'Mapa final'!$A$148),"")</f>
        <v/>
      </c>
      <c r="AU24" s="471"/>
      <c r="AV24" s="471" t="str">
        <f>IF(AND('Mapa final'!$K$151="Muy Alta",'Mapa final'!$O$151="Mayor"),CONCATENATE("R",'Mapa final'!$A$151),"")</f>
        <v/>
      </c>
      <c r="AW24" s="472"/>
      <c r="AX24" s="467" t="str">
        <f>IF(AND('Mapa final'!$K$139="Muy Alta",'Mapa final'!$O$139="Catastrófico"),CONCATENATE("R",'Mapa final'!$A$139),"")</f>
        <v/>
      </c>
      <c r="AY24" s="465"/>
      <c r="AZ24" s="465" t="str">
        <f>IF(AND('Mapa final'!$K$142="Muy Alta",'Mapa final'!$O$142="Catastrófico"),CONCATENATE("R",'Mapa final'!$A$142),"")</f>
        <v/>
      </c>
      <c r="BA24" s="465"/>
      <c r="BB24" s="465" t="str">
        <f>IF(AND('Mapa final'!$K$145="Muy Alta",'Mapa final'!$O$145="Catastrófico"),CONCATENATE("R",'Mapa final'!$A$145),"")</f>
        <v/>
      </c>
      <c r="BC24" s="465"/>
      <c r="BD24" s="465" t="str">
        <f>IF(AND('Mapa final'!$K$148="Muy Alta",'Mapa final'!$O$148="Catastrófico"),CONCATENATE("R",'Mapa final'!$A$148),"")</f>
        <v/>
      </c>
      <c r="BE24" s="465"/>
      <c r="BF24" s="465" t="str">
        <f>IF(AND('Mapa final'!$K$151="Muy Alta",'Mapa final'!$O$151="Catastrófico"),CONCATENATE("R",'Mapa final'!$A$151),"")</f>
        <v/>
      </c>
      <c r="BG24" s="466"/>
      <c r="BH24" s="55"/>
      <c r="BI24" s="499"/>
      <c r="BJ24" s="500"/>
      <c r="BK24" s="500"/>
      <c r="BL24" s="500"/>
      <c r="BM24" s="500"/>
      <c r="BN24" s="501"/>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L24" s="55"/>
      <c r="CM24" s="55"/>
      <c r="CN24" s="55"/>
      <c r="CO24" s="55"/>
      <c r="CP24" s="55"/>
      <c r="CQ24" s="55"/>
      <c r="CR24" s="55"/>
      <c r="CS24" s="55"/>
      <c r="CT24" s="55"/>
      <c r="CU24" s="55"/>
      <c r="CV24" s="55"/>
    </row>
    <row r="25" spans="1:100" ht="15.75" customHeight="1" thickBot="1" x14ac:dyDescent="0.3">
      <c r="A25" s="55"/>
      <c r="B25" s="316"/>
      <c r="C25" s="316"/>
      <c r="D25" s="317"/>
      <c r="E25" s="536"/>
      <c r="F25" s="537"/>
      <c r="G25" s="537"/>
      <c r="H25" s="537"/>
      <c r="I25" s="540"/>
      <c r="J25" s="471"/>
      <c r="K25" s="471"/>
      <c r="L25" s="471"/>
      <c r="M25" s="471"/>
      <c r="N25" s="471"/>
      <c r="O25" s="471"/>
      <c r="P25" s="471"/>
      <c r="Q25" s="471"/>
      <c r="R25" s="471"/>
      <c r="S25" s="471"/>
      <c r="T25" s="474"/>
      <c r="U25" s="475"/>
      <c r="V25" s="475"/>
      <c r="W25" s="475"/>
      <c r="X25" s="475"/>
      <c r="Y25" s="475"/>
      <c r="Z25" s="475"/>
      <c r="AA25" s="475"/>
      <c r="AB25" s="475"/>
      <c r="AC25" s="476"/>
      <c r="AD25" s="474"/>
      <c r="AE25" s="475"/>
      <c r="AF25" s="475"/>
      <c r="AG25" s="475"/>
      <c r="AH25" s="475"/>
      <c r="AI25" s="475"/>
      <c r="AJ25" s="475"/>
      <c r="AK25" s="475"/>
      <c r="AL25" s="475"/>
      <c r="AM25" s="476"/>
      <c r="AN25" s="474"/>
      <c r="AO25" s="475"/>
      <c r="AP25" s="475"/>
      <c r="AQ25" s="475"/>
      <c r="AR25" s="475"/>
      <c r="AS25" s="475"/>
      <c r="AT25" s="475"/>
      <c r="AU25" s="475"/>
      <c r="AV25" s="475"/>
      <c r="AW25" s="476"/>
      <c r="AX25" s="487"/>
      <c r="AY25" s="486"/>
      <c r="AZ25" s="486"/>
      <c r="BA25" s="486"/>
      <c r="BB25" s="486"/>
      <c r="BC25" s="486"/>
      <c r="BD25" s="486"/>
      <c r="BE25" s="486"/>
      <c r="BF25" s="486"/>
      <c r="BG25" s="488"/>
      <c r="BH25" s="55"/>
      <c r="BI25" s="499"/>
      <c r="BJ25" s="500"/>
      <c r="BK25" s="500"/>
      <c r="BL25" s="500"/>
      <c r="BM25" s="500"/>
      <c r="BN25" s="501"/>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c r="CR25" s="55"/>
      <c r="CS25" s="55"/>
      <c r="CT25" s="55"/>
      <c r="CU25" s="55"/>
      <c r="CV25" s="55"/>
    </row>
    <row r="26" spans="1:100" ht="15" customHeight="1" x14ac:dyDescent="0.25">
      <c r="A26" s="55"/>
      <c r="B26" s="316"/>
      <c r="C26" s="316"/>
      <c r="D26" s="317"/>
      <c r="E26" s="532" t="s">
        <v>106</v>
      </c>
      <c r="F26" s="533"/>
      <c r="G26" s="533"/>
      <c r="H26" s="533"/>
      <c r="I26" s="533"/>
      <c r="J26" s="477" t="str">
        <f>IF(AND('Mapa final'!$K$7="Alta",'Mapa final'!$O$7="Leve"),CONCATENATE("R",'Mapa final'!$A$7),"")</f>
        <v/>
      </c>
      <c r="K26" s="478"/>
      <c r="L26" s="478" t="str">
        <f>IF(AND('Mapa final'!$K$10="Alta",'Mapa final'!$O$10="Leve"),CONCATENATE("R",'Mapa final'!$A$10),"")</f>
        <v/>
      </c>
      <c r="M26" s="478"/>
      <c r="N26" s="478" t="str">
        <f>IF(AND('Mapa final'!$K$13="Alta",'Mapa final'!$O$13="Leve"),CONCATENATE("R",'Mapa final'!$A$13),"")</f>
        <v/>
      </c>
      <c r="O26" s="478"/>
      <c r="P26" s="478" t="e">
        <f>IF(AND('Mapa final'!#REF!="Alta",'Mapa final'!#REF!="Leve"),CONCATENATE("R",'Mapa final'!#REF!),"")</f>
        <v>#REF!</v>
      </c>
      <c r="Q26" s="478"/>
      <c r="R26" s="478" t="str">
        <f>IF(AND('Mapa final'!$K$16="Alta",'Mapa final'!$O$16="Leve"),CONCATENATE("R",'Mapa final'!$A$16),"")</f>
        <v/>
      </c>
      <c r="S26" s="479"/>
      <c r="T26" s="477" t="str">
        <f>IF(AND('Mapa final'!$K$7="Alta",'Mapa final'!$O$7="Menor"),CONCATENATE("R",'Mapa final'!$A$7),"")</f>
        <v/>
      </c>
      <c r="U26" s="478"/>
      <c r="V26" s="478" t="str">
        <f>IF(AND('Mapa final'!$K$10="Alta",'Mapa final'!$O$10="Menor"),CONCATENATE("R",'Mapa final'!$A$10),"")</f>
        <v/>
      </c>
      <c r="W26" s="478"/>
      <c r="X26" s="478" t="str">
        <f>IF(AND('Mapa final'!$K$13="Alta",'Mapa final'!$O$13="Menor"),CONCATENATE("R",'Mapa final'!$A$13),"")</f>
        <v/>
      </c>
      <c r="Y26" s="478"/>
      <c r="Z26" s="478" t="e">
        <f>IF(AND('Mapa final'!#REF!="Alta",'Mapa final'!#REF!="Menor"),CONCATENATE("R",'Mapa final'!#REF!),"")</f>
        <v>#REF!</v>
      </c>
      <c r="AA26" s="478"/>
      <c r="AB26" s="478" t="str">
        <f>IF(AND('Mapa final'!$K$16="Alta",'Mapa final'!$O$16="Menor"),CONCATENATE("R",'Mapa final'!$A$16),"")</f>
        <v/>
      </c>
      <c r="AC26" s="479"/>
      <c r="AD26" s="483" t="str">
        <f>IF(AND('Mapa final'!$K$7="Alta",'Mapa final'!$O$7="Moderado"),CONCATENATE("R",'Mapa final'!$A$7),"")</f>
        <v/>
      </c>
      <c r="AE26" s="484"/>
      <c r="AF26" s="484" t="str">
        <f>IF(AND('Mapa final'!$K$10="Alta",'Mapa final'!$O$10="Moderado"),CONCATENATE("R",'Mapa final'!$A$10),"")</f>
        <v/>
      </c>
      <c r="AG26" s="484"/>
      <c r="AH26" s="484" t="str">
        <f>IF(AND('Mapa final'!$K$13="Alta",'Mapa final'!$O$13="Moderado"),CONCATENATE("R",'Mapa final'!$A$13),"")</f>
        <v>R3</v>
      </c>
      <c r="AI26" s="484"/>
      <c r="AJ26" s="484" t="e">
        <f>IF(AND('Mapa final'!#REF!="Alta",'Mapa final'!#REF!="Moderado"),CONCATENATE("R",'Mapa final'!#REF!),"")</f>
        <v>#REF!</v>
      </c>
      <c r="AK26" s="484"/>
      <c r="AL26" s="484" t="str">
        <f>IF(AND('Mapa final'!$K$16="Alta",'Mapa final'!$O$16="Moderado"),CONCATENATE("R",'Mapa final'!$A$16),"")</f>
        <v/>
      </c>
      <c r="AM26" s="485"/>
      <c r="AN26" s="483" t="str">
        <f>IF(AND('Mapa final'!$K$7="Alta",'Mapa final'!$O$7="Mayor"),CONCATENATE("R",'Mapa final'!$A$7),"")</f>
        <v/>
      </c>
      <c r="AO26" s="484"/>
      <c r="AP26" s="484" t="str">
        <f>IF(AND('Mapa final'!$K$10="Alta",'Mapa final'!$O$10="Mayor"),CONCATENATE("R",'Mapa final'!$A$10),"")</f>
        <v/>
      </c>
      <c r="AQ26" s="484"/>
      <c r="AR26" s="484" t="str">
        <f>IF(AND('Mapa final'!$K$13="Alta",'Mapa final'!$O$13="Mayor"),CONCATENATE("R",'Mapa final'!$A$13),"")</f>
        <v/>
      </c>
      <c r="AS26" s="484"/>
      <c r="AT26" s="484" t="e">
        <f>IF(AND('Mapa final'!#REF!="Alta",'Mapa final'!#REF!="Mayor"),CONCATENATE("R",'Mapa final'!#REF!),"")</f>
        <v>#REF!</v>
      </c>
      <c r="AU26" s="484"/>
      <c r="AV26" s="484" t="str">
        <f>IF(AND('Mapa final'!$K$16="Alta",'Mapa final'!$O$16="Mayor"),CONCATENATE("R",'Mapa final'!$A$16),"")</f>
        <v/>
      </c>
      <c r="AW26" s="485"/>
      <c r="AX26" s="490" t="str">
        <f>IF(AND('Mapa final'!$K$7="Alta",'Mapa final'!$O$7="Catastrófico"),CONCATENATE("R",'Mapa final'!$A$7),"")</f>
        <v/>
      </c>
      <c r="AY26" s="489"/>
      <c r="AZ26" s="489" t="str">
        <f>IF(AND('Mapa final'!$K$10="Alta",'Mapa final'!$O$10="Catastrófico"),CONCATENATE("R",'Mapa final'!$A$10),"")</f>
        <v/>
      </c>
      <c r="BA26" s="489"/>
      <c r="BB26" s="489" t="str">
        <f>IF(AND('Mapa final'!$K$13="Alta",'Mapa final'!$O$13="Catastrófico"),CONCATENATE("R",'Mapa final'!$A$13),"")</f>
        <v/>
      </c>
      <c r="BC26" s="489"/>
      <c r="BD26" s="489" t="e">
        <f>IF(AND('Mapa final'!#REF!="Alta",'Mapa final'!#REF!="Catastrófico"),CONCATENATE("R",'Mapa final'!#REF!),"")</f>
        <v>#REF!</v>
      </c>
      <c r="BE26" s="489"/>
      <c r="BF26" s="489" t="str">
        <f>IF(AND('Mapa final'!$K$16="Alta",'Mapa final'!$O$16="Catastrófico"),CONCATENATE("R",'Mapa final'!$A$16),"")</f>
        <v/>
      </c>
      <c r="BG26" s="545"/>
      <c r="BH26" s="55"/>
      <c r="BI26" s="499"/>
      <c r="BJ26" s="500"/>
      <c r="BK26" s="500"/>
      <c r="BL26" s="500"/>
      <c r="BM26" s="500"/>
      <c r="BN26" s="501"/>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c r="CP26" s="55"/>
      <c r="CQ26" s="55"/>
      <c r="CR26" s="55"/>
      <c r="CS26" s="55"/>
      <c r="CT26" s="55"/>
      <c r="CU26" s="55"/>
      <c r="CV26" s="55"/>
    </row>
    <row r="27" spans="1:100" ht="15" customHeight="1" x14ac:dyDescent="0.25">
      <c r="A27" s="55"/>
      <c r="B27" s="316"/>
      <c r="C27" s="316"/>
      <c r="D27" s="317"/>
      <c r="E27" s="534"/>
      <c r="F27" s="535"/>
      <c r="G27" s="535"/>
      <c r="H27" s="535"/>
      <c r="I27" s="535"/>
      <c r="J27" s="470"/>
      <c r="K27" s="468"/>
      <c r="L27" s="468"/>
      <c r="M27" s="468"/>
      <c r="N27" s="468"/>
      <c r="O27" s="468"/>
      <c r="P27" s="468"/>
      <c r="Q27" s="468"/>
      <c r="R27" s="468"/>
      <c r="S27" s="469"/>
      <c r="T27" s="470"/>
      <c r="U27" s="468"/>
      <c r="V27" s="468"/>
      <c r="W27" s="468"/>
      <c r="X27" s="468"/>
      <c r="Y27" s="468"/>
      <c r="Z27" s="468"/>
      <c r="AA27" s="468"/>
      <c r="AB27" s="468"/>
      <c r="AC27" s="469"/>
      <c r="AD27" s="473"/>
      <c r="AE27" s="471"/>
      <c r="AF27" s="471"/>
      <c r="AG27" s="471"/>
      <c r="AH27" s="471"/>
      <c r="AI27" s="471"/>
      <c r="AJ27" s="471"/>
      <c r="AK27" s="471"/>
      <c r="AL27" s="471"/>
      <c r="AM27" s="472"/>
      <c r="AN27" s="473"/>
      <c r="AO27" s="471"/>
      <c r="AP27" s="471"/>
      <c r="AQ27" s="471"/>
      <c r="AR27" s="471"/>
      <c r="AS27" s="471"/>
      <c r="AT27" s="471"/>
      <c r="AU27" s="471"/>
      <c r="AV27" s="471"/>
      <c r="AW27" s="472"/>
      <c r="AX27" s="467"/>
      <c r="AY27" s="465"/>
      <c r="AZ27" s="465"/>
      <c r="BA27" s="465"/>
      <c r="BB27" s="465"/>
      <c r="BC27" s="465"/>
      <c r="BD27" s="465"/>
      <c r="BE27" s="465"/>
      <c r="BF27" s="465"/>
      <c r="BG27" s="466"/>
      <c r="BH27" s="55"/>
      <c r="BI27" s="499"/>
      <c r="BJ27" s="500"/>
      <c r="BK27" s="500"/>
      <c r="BL27" s="500"/>
      <c r="BM27" s="500"/>
      <c r="BN27" s="501"/>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L27" s="55"/>
      <c r="CM27" s="55"/>
      <c r="CN27" s="55"/>
      <c r="CO27" s="55"/>
      <c r="CP27" s="55"/>
      <c r="CQ27" s="55"/>
      <c r="CR27" s="55"/>
      <c r="CS27" s="55"/>
      <c r="CT27" s="55"/>
      <c r="CU27" s="55"/>
      <c r="CV27" s="55"/>
    </row>
    <row r="28" spans="1:100" ht="15" customHeight="1" x14ac:dyDescent="0.25">
      <c r="A28" s="55"/>
      <c r="B28" s="316"/>
      <c r="C28" s="316"/>
      <c r="D28" s="317"/>
      <c r="E28" s="534"/>
      <c r="F28" s="535"/>
      <c r="G28" s="535"/>
      <c r="H28" s="535"/>
      <c r="I28" s="535"/>
      <c r="J28" s="470" t="str">
        <f>IF(AND('Mapa final'!$K$19="Alta",'Mapa final'!$O$19="Leve"),CONCATENATE("R",'Mapa final'!$A$19),"")</f>
        <v/>
      </c>
      <c r="K28" s="468"/>
      <c r="L28" s="468" t="str">
        <f>IF(AND('Mapa final'!$K$22="Alta",'Mapa final'!$O$22="Leve"),CONCATENATE("R",'Mapa final'!$A$22),"")</f>
        <v/>
      </c>
      <c r="M28" s="468"/>
      <c r="N28" s="468" t="str">
        <f>IF(AND('Mapa final'!$K$25="Alta",'Mapa final'!$O$25="Leve"),CONCATENATE("R",'Mapa final'!$A$25),"")</f>
        <v/>
      </c>
      <c r="O28" s="468"/>
      <c r="P28" s="468" t="str">
        <f>IF(AND('Mapa final'!$K$28="Alta",'Mapa final'!$O$28="Leve"),CONCATENATE("R",'Mapa final'!$A$28),"")</f>
        <v/>
      </c>
      <c r="Q28" s="468"/>
      <c r="R28" s="468" t="str">
        <f>IF(AND('Mapa final'!$K$31="Alta",'Mapa final'!$O$31="Leve"),CONCATENATE("R",'Mapa final'!$A$31),"")</f>
        <v/>
      </c>
      <c r="S28" s="469"/>
      <c r="T28" s="470" t="str">
        <f>IF(AND('Mapa final'!$K$19="Alta",'Mapa final'!$O$19="Menor"),CONCATENATE("R",'Mapa final'!$A$19),"")</f>
        <v/>
      </c>
      <c r="U28" s="468"/>
      <c r="V28" s="468" t="str">
        <f>IF(AND('Mapa final'!$K$22="Alta",'Mapa final'!$O$22="Menor"),CONCATENATE("R",'Mapa final'!$A$22),"")</f>
        <v/>
      </c>
      <c r="W28" s="468"/>
      <c r="X28" s="468" t="str">
        <f>IF(AND('Mapa final'!$K$25="Alta",'Mapa final'!$O$25="Menor"),CONCATENATE("R",'Mapa final'!$A$25),"")</f>
        <v/>
      </c>
      <c r="Y28" s="468"/>
      <c r="Z28" s="468" t="str">
        <f>IF(AND('Mapa final'!$K$28="Alta",'Mapa final'!$O$28="Menor"),CONCATENATE("R",'Mapa final'!$A$28),"")</f>
        <v/>
      </c>
      <c r="AA28" s="468"/>
      <c r="AB28" s="468" t="str">
        <f>IF(AND('Mapa final'!$K$31="Alta",'Mapa final'!$O$31="Menor"),CONCATENATE("R",'Mapa final'!$A$31),"")</f>
        <v/>
      </c>
      <c r="AC28" s="469"/>
      <c r="AD28" s="473" t="str">
        <f>IF(AND('Mapa final'!$K$19="Alta",'Mapa final'!$O$19="Moderado"),CONCATENATE("R",'Mapa final'!$A$19),"")</f>
        <v/>
      </c>
      <c r="AE28" s="471"/>
      <c r="AF28" s="471" t="str">
        <f>IF(AND('Mapa final'!$K$22="Alta",'Mapa final'!$O$22="Moderado"),CONCATENATE("R",'Mapa final'!$A$22),"")</f>
        <v/>
      </c>
      <c r="AG28" s="471"/>
      <c r="AH28" s="471" t="str">
        <f>IF(AND('Mapa final'!$K$25="Alta",'Mapa final'!$O$25="Moderado"),CONCATENATE("R",'Mapa final'!$A$25),"")</f>
        <v>R7</v>
      </c>
      <c r="AI28" s="471"/>
      <c r="AJ28" s="471" t="str">
        <f>IF(AND('Mapa final'!$K$28="Alta",'Mapa final'!$O$28="Moderado"),CONCATENATE("R",'Mapa final'!$A$28),"")</f>
        <v/>
      </c>
      <c r="AK28" s="471"/>
      <c r="AL28" s="471" t="str">
        <f>IF(AND('Mapa final'!$K$31="Alta",'Mapa final'!$O$31="Moderado"),CONCATENATE("R",'Mapa final'!$A$31),"")</f>
        <v>R9</v>
      </c>
      <c r="AM28" s="472"/>
      <c r="AN28" s="473" t="str">
        <f>IF(AND('Mapa final'!$K$19="Alta",'Mapa final'!$O$19="Mayor"),CONCATENATE("R",'Mapa final'!$A$19),"")</f>
        <v/>
      </c>
      <c r="AO28" s="471"/>
      <c r="AP28" s="471" t="str">
        <f>IF(AND('Mapa final'!$K$22="Alta",'Mapa final'!$O$22="Mayor"),CONCATENATE("R",'Mapa final'!$A$22),"")</f>
        <v/>
      </c>
      <c r="AQ28" s="471"/>
      <c r="AR28" s="471" t="str">
        <f>IF(AND('Mapa final'!$K$25="Alta",'Mapa final'!$O$25="Mayor"),CONCATENATE("R",'Mapa final'!$A$25),"")</f>
        <v/>
      </c>
      <c r="AS28" s="471"/>
      <c r="AT28" s="471" t="str">
        <f>IF(AND('Mapa final'!$K$28="Alta",'Mapa final'!$O$28="Mayor"),CONCATENATE("R",'Mapa final'!$A$28),"")</f>
        <v>R8</v>
      </c>
      <c r="AU28" s="471"/>
      <c r="AV28" s="471" t="str">
        <f>IF(AND('Mapa final'!$K$31="Alta",'Mapa final'!$O$31="Mayor"),CONCATENATE("R",'Mapa final'!$A$31),"")</f>
        <v/>
      </c>
      <c r="AW28" s="472"/>
      <c r="AX28" s="467" t="str">
        <f>IF(AND('Mapa final'!$K$19="Alta",'Mapa final'!$O$19="Catastrófico"),CONCATENATE("R",'Mapa final'!$A$19),"")</f>
        <v/>
      </c>
      <c r="AY28" s="465"/>
      <c r="AZ28" s="465" t="str">
        <f>IF(AND('Mapa final'!$K$22="Alta",'Mapa final'!$O$22="Catastrófico"),CONCATENATE("R",'Mapa final'!$A$22),"")</f>
        <v/>
      </c>
      <c r="BA28" s="465"/>
      <c r="BB28" s="465" t="str">
        <f>IF(AND('Mapa final'!$K$25="Alta",'Mapa final'!$O$25="Catastrófico"),CONCATENATE("R",'Mapa final'!$A$25),"")</f>
        <v/>
      </c>
      <c r="BC28" s="465"/>
      <c r="BD28" s="465" t="str">
        <f>IF(AND('Mapa final'!$K$28="Alta",'Mapa final'!$O$28="Catastrófico"),CONCATENATE("R",'Mapa final'!$A$28),"")</f>
        <v/>
      </c>
      <c r="BE28" s="465"/>
      <c r="BF28" s="465" t="str">
        <f>IF(AND('Mapa final'!$K$31="Alta",'Mapa final'!$O$31="Catastrófico"),CONCATENATE("R",'Mapa final'!$A$31),"")</f>
        <v/>
      </c>
      <c r="BG28" s="466"/>
      <c r="BH28" s="55"/>
      <c r="BI28" s="499"/>
      <c r="BJ28" s="500"/>
      <c r="BK28" s="500"/>
      <c r="BL28" s="500"/>
      <c r="BM28" s="500"/>
      <c r="BN28" s="501"/>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row>
    <row r="29" spans="1:100" ht="15" customHeight="1" x14ac:dyDescent="0.25">
      <c r="A29" s="55"/>
      <c r="B29" s="316"/>
      <c r="C29" s="316"/>
      <c r="D29" s="317"/>
      <c r="E29" s="534"/>
      <c r="F29" s="535"/>
      <c r="G29" s="535"/>
      <c r="H29" s="535"/>
      <c r="I29" s="535"/>
      <c r="J29" s="470"/>
      <c r="K29" s="468"/>
      <c r="L29" s="468"/>
      <c r="M29" s="468"/>
      <c r="N29" s="468"/>
      <c r="O29" s="468"/>
      <c r="P29" s="468"/>
      <c r="Q29" s="468"/>
      <c r="R29" s="468"/>
      <c r="S29" s="469"/>
      <c r="T29" s="470"/>
      <c r="U29" s="468"/>
      <c r="V29" s="468"/>
      <c r="W29" s="468"/>
      <c r="X29" s="468"/>
      <c r="Y29" s="468"/>
      <c r="Z29" s="468"/>
      <c r="AA29" s="468"/>
      <c r="AB29" s="468"/>
      <c r="AC29" s="469"/>
      <c r="AD29" s="473"/>
      <c r="AE29" s="471"/>
      <c r="AF29" s="471"/>
      <c r="AG29" s="471"/>
      <c r="AH29" s="471"/>
      <c r="AI29" s="471"/>
      <c r="AJ29" s="471"/>
      <c r="AK29" s="471"/>
      <c r="AL29" s="471"/>
      <c r="AM29" s="472"/>
      <c r="AN29" s="473"/>
      <c r="AO29" s="471"/>
      <c r="AP29" s="471"/>
      <c r="AQ29" s="471"/>
      <c r="AR29" s="471"/>
      <c r="AS29" s="471"/>
      <c r="AT29" s="471"/>
      <c r="AU29" s="471"/>
      <c r="AV29" s="471"/>
      <c r="AW29" s="472"/>
      <c r="AX29" s="467"/>
      <c r="AY29" s="465"/>
      <c r="AZ29" s="465"/>
      <c r="BA29" s="465"/>
      <c r="BB29" s="465"/>
      <c r="BC29" s="465"/>
      <c r="BD29" s="465"/>
      <c r="BE29" s="465"/>
      <c r="BF29" s="465"/>
      <c r="BG29" s="466"/>
      <c r="BH29" s="55"/>
      <c r="BI29" s="499"/>
      <c r="BJ29" s="500"/>
      <c r="BK29" s="500"/>
      <c r="BL29" s="500"/>
      <c r="BM29" s="500"/>
      <c r="BN29" s="501"/>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c r="CP29" s="55"/>
      <c r="CQ29" s="55"/>
      <c r="CR29" s="55"/>
      <c r="CS29" s="55"/>
      <c r="CT29" s="55"/>
      <c r="CU29" s="55"/>
      <c r="CV29" s="55"/>
    </row>
    <row r="30" spans="1:100" ht="15" customHeight="1" x14ac:dyDescent="0.25">
      <c r="A30" s="55"/>
      <c r="B30" s="316"/>
      <c r="C30" s="316"/>
      <c r="D30" s="317"/>
      <c r="E30" s="534"/>
      <c r="F30" s="535"/>
      <c r="G30" s="535"/>
      <c r="H30" s="535"/>
      <c r="I30" s="535"/>
      <c r="J30" s="470" t="str">
        <f>IF(AND('Mapa final'!$K$34="Alta",'Mapa final'!$O$34="Leve"),CONCATENATE("R",'Mapa final'!$A$34),"")</f>
        <v/>
      </c>
      <c r="K30" s="468"/>
      <c r="L30" s="468" t="str">
        <f>IF(AND('Mapa final'!$K$37="Alta",'Mapa final'!$O$37="Leve"),CONCATENATE("R",'Mapa final'!$A$37),"")</f>
        <v/>
      </c>
      <c r="M30" s="468"/>
      <c r="N30" s="468" t="str">
        <f>IF(AND('Mapa final'!$K$40="Alta",'Mapa final'!$O$40="Leve"),CONCATENATE("R",'Mapa final'!$A$40),"")</f>
        <v/>
      </c>
      <c r="O30" s="468"/>
      <c r="P30" s="468" t="str">
        <f>IF(AND('Mapa final'!$K$43="Alta",'Mapa final'!$O$43="Leve"),CONCATENATE("R",'Mapa final'!$A$43),"")</f>
        <v/>
      </c>
      <c r="Q30" s="468"/>
      <c r="R30" s="468" t="str">
        <f>IF(AND('Mapa final'!$K$46="Alta",'Mapa final'!$O$46="Leve"),CONCATENATE("R",'Mapa final'!$A$46),"")</f>
        <v/>
      </c>
      <c r="S30" s="469"/>
      <c r="T30" s="470" t="str">
        <f>IF(AND('Mapa final'!$K$34="Alta",'Mapa final'!$O$34="Menor"),CONCATENATE("R",'Mapa final'!$A$34),"")</f>
        <v/>
      </c>
      <c r="U30" s="468"/>
      <c r="V30" s="468" t="str">
        <f>IF(AND('Mapa final'!$K$37="Alta",'Mapa final'!$O$37="Menor"),CONCATENATE("R",'Mapa final'!$A$37),"")</f>
        <v/>
      </c>
      <c r="W30" s="468"/>
      <c r="X30" s="468" t="str">
        <f>IF(AND('Mapa final'!$K$40="Alta",'Mapa final'!$O$40="Menor"),CONCATENATE("R",'Mapa final'!$A$40),"")</f>
        <v/>
      </c>
      <c r="Y30" s="468"/>
      <c r="Z30" s="468" t="str">
        <f>IF(AND('Mapa final'!$K$43="Alta",'Mapa final'!$O$43="Menor"),CONCATENATE("R",'Mapa final'!$A$43),"")</f>
        <v/>
      </c>
      <c r="AA30" s="468"/>
      <c r="AB30" s="468" t="str">
        <f>IF(AND('Mapa final'!$K$46="Alta",'Mapa final'!$O$46="Menor"),CONCATENATE("R",'Mapa final'!$A$46),"")</f>
        <v/>
      </c>
      <c r="AC30" s="469"/>
      <c r="AD30" s="473" t="str">
        <f>IF(AND('Mapa final'!$K$34="Alta",'Mapa final'!$O$34="Moderado"),CONCATENATE("R",'Mapa final'!$A$34),"")</f>
        <v/>
      </c>
      <c r="AE30" s="471"/>
      <c r="AF30" s="471" t="str">
        <f>IF(AND('Mapa final'!$K$37="Alta",'Mapa final'!$O$37="Moderado"),CONCATENATE("R",'Mapa final'!$A$37),"")</f>
        <v/>
      </c>
      <c r="AG30" s="471"/>
      <c r="AH30" s="471" t="str">
        <f>IF(AND('Mapa final'!$K$40="Alta",'Mapa final'!$O$40="Moderado"),CONCATENATE("R",'Mapa final'!$A$40),"")</f>
        <v/>
      </c>
      <c r="AI30" s="471"/>
      <c r="AJ30" s="471" t="str">
        <f>IF(AND('Mapa final'!$K$43="Alta",'Mapa final'!$O$43="Moderado"),CONCATENATE("R",'Mapa final'!$A$43),"")</f>
        <v/>
      </c>
      <c r="AK30" s="471"/>
      <c r="AL30" s="471" t="str">
        <f>IF(AND('Mapa final'!$K$46="Alta",'Mapa final'!$O$46="Moderado"),CONCATENATE("R",'Mapa final'!$A$46),"")</f>
        <v>R14</v>
      </c>
      <c r="AM30" s="472"/>
      <c r="AN30" s="473" t="str">
        <f>IF(AND('Mapa final'!$K$34="Alta",'Mapa final'!$O$34="Mayor"),CONCATENATE("R",'Mapa final'!$A$34),"")</f>
        <v/>
      </c>
      <c r="AO30" s="471"/>
      <c r="AP30" s="471" t="str">
        <f>IF(AND('Mapa final'!$K$37="Alta",'Mapa final'!$O$37="Mayor"),CONCATENATE("R",'Mapa final'!$A$37),"")</f>
        <v/>
      </c>
      <c r="AQ30" s="471"/>
      <c r="AR30" s="471" t="str">
        <f>IF(AND('Mapa final'!$K$40="Alta",'Mapa final'!$O$40="Mayor"),CONCATENATE("R",'Mapa final'!$A$40),"")</f>
        <v/>
      </c>
      <c r="AS30" s="471"/>
      <c r="AT30" s="471" t="str">
        <f>IF(AND('Mapa final'!$K$43="Alta",'Mapa final'!$O$43="Mayor"),CONCATENATE("R",'Mapa final'!$A$43),"")</f>
        <v/>
      </c>
      <c r="AU30" s="471"/>
      <c r="AV30" s="471" t="str">
        <f>IF(AND('Mapa final'!$K$46="Alta",'Mapa final'!$O$46="Mayor"),CONCATENATE("R",'Mapa final'!$A$46),"")</f>
        <v/>
      </c>
      <c r="AW30" s="472"/>
      <c r="AX30" s="467" t="str">
        <f>IF(AND('Mapa final'!$K$34="Alta",'Mapa final'!$O$34="Catastrófico"),CONCATENATE("R",'Mapa final'!$A$34),"")</f>
        <v/>
      </c>
      <c r="AY30" s="465"/>
      <c r="AZ30" s="465" t="str">
        <f>IF(AND('Mapa final'!$K$37="Alta",'Mapa final'!$O$37="Catastrófico"),CONCATENATE("R",'Mapa final'!$A$37),"")</f>
        <v/>
      </c>
      <c r="BA30" s="465"/>
      <c r="BB30" s="465" t="str">
        <f>IF(AND('Mapa final'!$K$40="Alta",'Mapa final'!$O$40="Catastrófico"),CONCATENATE("R",'Mapa final'!$A$40),"")</f>
        <v/>
      </c>
      <c r="BC30" s="465"/>
      <c r="BD30" s="465" t="str">
        <f>IF(AND('Mapa final'!$K$43="Alta",'Mapa final'!$O$43="Catastrófico"),CONCATENATE("R",'Mapa final'!$A$43),"")</f>
        <v/>
      </c>
      <c r="BE30" s="465"/>
      <c r="BF30" s="465" t="str">
        <f>IF(AND('Mapa final'!$K$46="Alta",'Mapa final'!$O$46="Catastrófico"),CONCATENATE("R",'Mapa final'!$A$46),"")</f>
        <v/>
      </c>
      <c r="BG30" s="466"/>
      <c r="BH30" s="55"/>
      <c r="BI30" s="499"/>
      <c r="BJ30" s="500"/>
      <c r="BK30" s="500"/>
      <c r="BL30" s="500"/>
      <c r="BM30" s="500"/>
      <c r="BN30" s="501"/>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row>
    <row r="31" spans="1:100" ht="15" customHeight="1" x14ac:dyDescent="0.25">
      <c r="A31" s="55"/>
      <c r="B31" s="316"/>
      <c r="C31" s="316"/>
      <c r="D31" s="317"/>
      <c r="E31" s="534"/>
      <c r="F31" s="535"/>
      <c r="G31" s="535"/>
      <c r="H31" s="535"/>
      <c r="I31" s="535"/>
      <c r="J31" s="470"/>
      <c r="K31" s="468"/>
      <c r="L31" s="468"/>
      <c r="M31" s="468"/>
      <c r="N31" s="468"/>
      <c r="O31" s="468"/>
      <c r="P31" s="468"/>
      <c r="Q31" s="468"/>
      <c r="R31" s="468"/>
      <c r="S31" s="469"/>
      <c r="T31" s="470"/>
      <c r="U31" s="468"/>
      <c r="V31" s="468"/>
      <c r="W31" s="468"/>
      <c r="X31" s="468"/>
      <c r="Y31" s="468"/>
      <c r="Z31" s="468"/>
      <c r="AA31" s="468"/>
      <c r="AB31" s="468"/>
      <c r="AC31" s="469"/>
      <c r="AD31" s="473"/>
      <c r="AE31" s="471"/>
      <c r="AF31" s="471"/>
      <c r="AG31" s="471"/>
      <c r="AH31" s="471"/>
      <c r="AI31" s="471"/>
      <c r="AJ31" s="471"/>
      <c r="AK31" s="471"/>
      <c r="AL31" s="471"/>
      <c r="AM31" s="472"/>
      <c r="AN31" s="473"/>
      <c r="AO31" s="471"/>
      <c r="AP31" s="471"/>
      <c r="AQ31" s="471"/>
      <c r="AR31" s="471"/>
      <c r="AS31" s="471"/>
      <c r="AT31" s="471"/>
      <c r="AU31" s="471"/>
      <c r="AV31" s="471"/>
      <c r="AW31" s="472"/>
      <c r="AX31" s="467"/>
      <c r="AY31" s="465"/>
      <c r="AZ31" s="465"/>
      <c r="BA31" s="465"/>
      <c r="BB31" s="465"/>
      <c r="BC31" s="465"/>
      <c r="BD31" s="465"/>
      <c r="BE31" s="465"/>
      <c r="BF31" s="465"/>
      <c r="BG31" s="466"/>
      <c r="BH31" s="55"/>
      <c r="BI31" s="499"/>
      <c r="BJ31" s="500"/>
      <c r="BK31" s="500"/>
      <c r="BL31" s="500"/>
      <c r="BM31" s="500"/>
      <c r="BN31" s="501"/>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c r="CP31" s="55"/>
      <c r="CQ31" s="55"/>
      <c r="CR31" s="55"/>
      <c r="CS31" s="55"/>
      <c r="CT31" s="55"/>
      <c r="CU31" s="55"/>
      <c r="CV31" s="55"/>
    </row>
    <row r="32" spans="1:100" ht="15" customHeight="1" x14ac:dyDescent="0.25">
      <c r="A32" s="55"/>
      <c r="B32" s="316"/>
      <c r="C32" s="316"/>
      <c r="D32" s="317"/>
      <c r="E32" s="534"/>
      <c r="F32" s="535"/>
      <c r="G32" s="535"/>
      <c r="H32" s="535"/>
      <c r="I32" s="535"/>
      <c r="J32" s="470" t="str">
        <f>IF(AND('Mapa final'!$K$49="Alta",'Mapa final'!$O$49="Leve"),CONCATENATE("R",'Mapa final'!$A$49),"")</f>
        <v/>
      </c>
      <c r="K32" s="468"/>
      <c r="L32" s="468" t="str">
        <f>IF(AND('Mapa final'!$K$52="Alta",'Mapa final'!$O$52="Leve"),CONCATENATE("R",'Mapa final'!$A$52),"")</f>
        <v/>
      </c>
      <c r="M32" s="468"/>
      <c r="N32" s="468" t="str">
        <f>IF(AND('Mapa final'!$K$55="Alta",'Mapa final'!$O$55="Leve"),CONCATENATE("R",'Mapa final'!$A$55),"")</f>
        <v/>
      </c>
      <c r="O32" s="468"/>
      <c r="P32" s="468" t="str">
        <f>IF(AND('Mapa final'!$K$58="Alta",'Mapa final'!$O$58="Leve"),CONCATENATE("R",'Mapa final'!$A$58),"")</f>
        <v/>
      </c>
      <c r="Q32" s="468"/>
      <c r="R32" s="468" t="str">
        <f>IF(AND('Mapa final'!$K$61="Alta",'Mapa final'!$O$61="Leve"),CONCATENATE("R",'Mapa final'!$A$61),"")</f>
        <v/>
      </c>
      <c r="S32" s="469"/>
      <c r="T32" s="470" t="str">
        <f>IF(AND('Mapa final'!$K$49="Alta",'Mapa final'!$O$49="Menor"),CONCATENATE("R",'Mapa final'!$A$49),"")</f>
        <v/>
      </c>
      <c r="U32" s="468"/>
      <c r="V32" s="468" t="str">
        <f>IF(AND('Mapa final'!$K$52="Alta",'Mapa final'!$O$52="Menor"),CONCATENATE("R",'Mapa final'!$A$52),"")</f>
        <v/>
      </c>
      <c r="W32" s="468"/>
      <c r="X32" s="468" t="str">
        <f>IF(AND('Mapa final'!$K$55="Alta",'Mapa final'!$O$55="Menor"),CONCATENATE("R",'Mapa final'!$A$55),"")</f>
        <v/>
      </c>
      <c r="Y32" s="468"/>
      <c r="Z32" s="468" t="str">
        <f>IF(AND('Mapa final'!$K$58="Alta",'Mapa final'!$O$58="Menor"),CONCATENATE("R",'Mapa final'!$A$58),"")</f>
        <v/>
      </c>
      <c r="AA32" s="468"/>
      <c r="AB32" s="468" t="str">
        <f>IF(AND('Mapa final'!$K$61="Alta",'Mapa final'!$O$61="Menor"),CONCATENATE("R",'Mapa final'!$A$61),"")</f>
        <v/>
      </c>
      <c r="AC32" s="469"/>
      <c r="AD32" s="473" t="str">
        <f>IF(AND('Mapa final'!$K$49="Alta",'Mapa final'!$O$49="Moderado"),CONCATENATE("R",'Mapa final'!$A$49),"")</f>
        <v/>
      </c>
      <c r="AE32" s="471"/>
      <c r="AF32" s="471" t="str">
        <f>IF(AND('Mapa final'!$K$52="Alta",'Mapa final'!$O$52="Moderado"),CONCATENATE("R",'Mapa final'!$A$52),"")</f>
        <v/>
      </c>
      <c r="AG32" s="471"/>
      <c r="AH32" s="471" t="str">
        <f>IF(AND('Mapa final'!$K$55="Alta",'Mapa final'!$O$55="Moderado"),CONCATENATE("R",'Mapa final'!$A$55),"")</f>
        <v/>
      </c>
      <c r="AI32" s="471"/>
      <c r="AJ32" s="471" t="str">
        <f>IF(AND('Mapa final'!$K$58="Alta",'Mapa final'!$O$58="Moderado"),CONCATENATE("R",'Mapa final'!$A$58),"")</f>
        <v/>
      </c>
      <c r="AK32" s="471"/>
      <c r="AL32" s="471" t="str">
        <f>IF(AND('Mapa final'!$K$61="Alta",'Mapa final'!$O$61="Moderado"),CONCATENATE("R",'Mapa final'!$A$61),"")</f>
        <v/>
      </c>
      <c r="AM32" s="472"/>
      <c r="AN32" s="473" t="str">
        <f>IF(AND('Mapa final'!$K$49="Alta",'Mapa final'!$O$49="Mayor"),CONCATENATE("R",'Mapa final'!$A$49),"")</f>
        <v/>
      </c>
      <c r="AO32" s="471"/>
      <c r="AP32" s="471" t="str">
        <f>IF(AND('Mapa final'!$K$52="Alta",'Mapa final'!$O$52="Mayor"),CONCATENATE("R",'Mapa final'!$A$52),"")</f>
        <v/>
      </c>
      <c r="AQ32" s="471"/>
      <c r="AR32" s="471" t="str">
        <f>IF(AND('Mapa final'!$K$55="Alta",'Mapa final'!$O$55="Mayor"),CONCATENATE("R",'Mapa final'!$A$55),"")</f>
        <v/>
      </c>
      <c r="AS32" s="471"/>
      <c r="AT32" s="471" t="str">
        <f>IF(AND('Mapa final'!$K$58="Alta",'Mapa final'!$O$58="Mayor"),CONCATENATE("R",'Mapa final'!$A$58),"")</f>
        <v/>
      </c>
      <c r="AU32" s="471"/>
      <c r="AV32" s="471" t="str">
        <f>IF(AND('Mapa final'!$K$61="Alta",'Mapa final'!$O$61="Mayor"),CONCATENATE("R",'Mapa final'!$A$61),"")</f>
        <v/>
      </c>
      <c r="AW32" s="472"/>
      <c r="AX32" s="467" t="str">
        <f>IF(AND('Mapa final'!$K$49="Alta",'Mapa final'!$O$49="Catastrófico"),CONCATENATE("R",'Mapa final'!$A$49),"")</f>
        <v/>
      </c>
      <c r="AY32" s="465"/>
      <c r="AZ32" s="465" t="str">
        <f>IF(AND('Mapa final'!$K$52="Alta",'Mapa final'!$O$52="Catastrófico"),CONCATENATE("R",'Mapa final'!$A$52),"")</f>
        <v/>
      </c>
      <c r="BA32" s="465"/>
      <c r="BB32" s="465" t="str">
        <f>IF(AND('Mapa final'!$K$55="Alta",'Mapa final'!$O$55="Catastrófico"),CONCATENATE("R",'Mapa final'!$A$55),"")</f>
        <v/>
      </c>
      <c r="BC32" s="465"/>
      <c r="BD32" s="465" t="str">
        <f>IF(AND('Mapa final'!$K$58="Alta",'Mapa final'!$O$58="Catastrófico"),CONCATENATE("R",'Mapa final'!$A$58),"")</f>
        <v/>
      </c>
      <c r="BE32" s="465"/>
      <c r="BF32" s="465" t="str">
        <f>IF(AND('Mapa final'!$K$61="Alta",'Mapa final'!$O$61="Catastrófico"),CONCATENATE("R",'Mapa final'!$A$61),"")</f>
        <v/>
      </c>
      <c r="BG32" s="466"/>
      <c r="BH32" s="55"/>
      <c r="BI32" s="499"/>
      <c r="BJ32" s="500"/>
      <c r="BK32" s="500"/>
      <c r="BL32" s="500"/>
      <c r="BM32" s="500"/>
      <c r="BN32" s="501"/>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c r="CP32" s="55"/>
      <c r="CQ32" s="55"/>
      <c r="CR32" s="55"/>
      <c r="CS32" s="55"/>
      <c r="CT32" s="55"/>
      <c r="CU32" s="55"/>
      <c r="CV32" s="55"/>
    </row>
    <row r="33" spans="1:100" ht="15" customHeight="1" thickBot="1" x14ac:dyDescent="0.3">
      <c r="A33" s="55"/>
      <c r="B33" s="316"/>
      <c r="C33" s="316"/>
      <c r="D33" s="317"/>
      <c r="E33" s="534"/>
      <c r="F33" s="535"/>
      <c r="G33" s="535"/>
      <c r="H33" s="535"/>
      <c r="I33" s="535"/>
      <c r="J33" s="470"/>
      <c r="K33" s="468"/>
      <c r="L33" s="468"/>
      <c r="M33" s="468"/>
      <c r="N33" s="468"/>
      <c r="O33" s="468"/>
      <c r="P33" s="468"/>
      <c r="Q33" s="468"/>
      <c r="R33" s="468"/>
      <c r="S33" s="469"/>
      <c r="T33" s="470"/>
      <c r="U33" s="468"/>
      <c r="V33" s="468"/>
      <c r="W33" s="468"/>
      <c r="X33" s="468"/>
      <c r="Y33" s="468"/>
      <c r="Z33" s="468"/>
      <c r="AA33" s="468"/>
      <c r="AB33" s="468"/>
      <c r="AC33" s="469"/>
      <c r="AD33" s="473"/>
      <c r="AE33" s="471"/>
      <c r="AF33" s="471"/>
      <c r="AG33" s="471"/>
      <c r="AH33" s="471"/>
      <c r="AI33" s="471"/>
      <c r="AJ33" s="471"/>
      <c r="AK33" s="471"/>
      <c r="AL33" s="471"/>
      <c r="AM33" s="472"/>
      <c r="AN33" s="473"/>
      <c r="AO33" s="471"/>
      <c r="AP33" s="471"/>
      <c r="AQ33" s="471"/>
      <c r="AR33" s="471"/>
      <c r="AS33" s="471"/>
      <c r="AT33" s="471"/>
      <c r="AU33" s="471"/>
      <c r="AV33" s="471"/>
      <c r="AW33" s="472"/>
      <c r="AX33" s="467"/>
      <c r="AY33" s="465"/>
      <c r="AZ33" s="465"/>
      <c r="BA33" s="465"/>
      <c r="BB33" s="465"/>
      <c r="BC33" s="465"/>
      <c r="BD33" s="465"/>
      <c r="BE33" s="465"/>
      <c r="BF33" s="465"/>
      <c r="BG33" s="466"/>
      <c r="BH33" s="55"/>
      <c r="BI33" s="502"/>
      <c r="BJ33" s="503"/>
      <c r="BK33" s="503"/>
      <c r="BL33" s="503"/>
      <c r="BM33" s="503"/>
      <c r="BN33" s="504"/>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c r="CP33" s="55"/>
      <c r="CQ33" s="55"/>
      <c r="CR33" s="55"/>
      <c r="CS33" s="55"/>
      <c r="CT33" s="55"/>
      <c r="CU33" s="55"/>
      <c r="CV33" s="55"/>
    </row>
    <row r="34" spans="1:100" ht="15" customHeight="1" x14ac:dyDescent="0.25">
      <c r="A34" s="55"/>
      <c r="B34" s="316"/>
      <c r="C34" s="316"/>
      <c r="D34" s="317"/>
      <c r="E34" s="534"/>
      <c r="F34" s="535"/>
      <c r="G34" s="535"/>
      <c r="H34" s="535"/>
      <c r="I34" s="535"/>
      <c r="J34" s="470" t="str">
        <f>IF(AND('Mapa final'!$K$64="Alta",'Mapa final'!$O$64="Leve"),CONCATENATE("R",'Mapa final'!$A$64),"")</f>
        <v/>
      </c>
      <c r="K34" s="468"/>
      <c r="L34" s="468" t="str">
        <f>IF(AND('Mapa final'!$K$67="Alta",'Mapa final'!$O$67="Leve"),CONCATENATE("R",'Mapa final'!$A$67),"")</f>
        <v/>
      </c>
      <c r="M34" s="468"/>
      <c r="N34" s="468" t="str">
        <f>IF(AND('Mapa final'!$K$73="Alta",'Mapa final'!$O$73="Leve"),CONCATENATE("R",'Mapa final'!$A$73),"")</f>
        <v/>
      </c>
      <c r="O34" s="468"/>
      <c r="P34" s="468" t="str">
        <f>IF(AND('Mapa final'!$K$76="Alta",'Mapa final'!$O$76="Leve"),CONCATENATE("R",'Mapa final'!$A$76),"")</f>
        <v/>
      </c>
      <c r="Q34" s="468"/>
      <c r="R34" s="468" t="str">
        <f>IF(AND('Mapa final'!$K$79="Alta",'Mapa final'!$O$79="Leve"),CONCATENATE("R",'Mapa final'!$A$79),"")</f>
        <v/>
      </c>
      <c r="S34" s="469"/>
      <c r="T34" s="470" t="str">
        <f>IF(AND('Mapa final'!$K$64="Alta",'Mapa final'!$O$64="Menor"),CONCATENATE("R",'Mapa final'!$A$64),"")</f>
        <v/>
      </c>
      <c r="U34" s="468"/>
      <c r="V34" s="468" t="str">
        <f>IF(AND('Mapa final'!$K$67="Alta",'Mapa final'!$O$67="Menor"),CONCATENATE("R",'Mapa final'!$A$67),"")</f>
        <v/>
      </c>
      <c r="W34" s="468"/>
      <c r="X34" s="468" t="str">
        <f>IF(AND('Mapa final'!$K$73="Alta",'Mapa final'!$O$73="Menor"),CONCATENATE("R",'Mapa final'!$A$73),"")</f>
        <v/>
      </c>
      <c r="Y34" s="468"/>
      <c r="Z34" s="468" t="str">
        <f>IF(AND('Mapa final'!$K$76="Alta",'Mapa final'!$O$76="Menor"),CONCATENATE("R",'Mapa final'!$A$76),"")</f>
        <v/>
      </c>
      <c r="AA34" s="468"/>
      <c r="AB34" s="468" t="str">
        <f>IF(AND('Mapa final'!$K$79="Alta",'Mapa final'!$O$79="Menor"),CONCATENATE("R",'Mapa final'!$A$79),"")</f>
        <v/>
      </c>
      <c r="AC34" s="469"/>
      <c r="AD34" s="473" t="str">
        <f>IF(AND('Mapa final'!$K$64="Alta",'Mapa final'!$O$64="Moderado"),CONCATENATE("R",'Mapa final'!$A$64),"")</f>
        <v/>
      </c>
      <c r="AE34" s="471"/>
      <c r="AF34" s="471" t="str">
        <f>IF(AND('Mapa final'!$K$67="Alta",'Mapa final'!$O$67="Moderado"),CONCATENATE("R",'Mapa final'!$A$67),"")</f>
        <v/>
      </c>
      <c r="AG34" s="471"/>
      <c r="AH34" s="471" t="str">
        <f>IF(AND('Mapa final'!$K$73="Alta",'Mapa final'!$O$73="Moderado"),CONCATENATE("R",'Mapa final'!$A$73),"")</f>
        <v/>
      </c>
      <c r="AI34" s="471"/>
      <c r="AJ34" s="471" t="str">
        <f>IF(AND('Mapa final'!$K$76="Alta",'Mapa final'!$O$76="Moderado"),CONCATENATE("R",'Mapa final'!$A$76),"")</f>
        <v/>
      </c>
      <c r="AK34" s="471"/>
      <c r="AL34" s="471" t="str">
        <f>IF(AND('Mapa final'!$K$79="Alta",'Mapa final'!$O$79="Moderado"),CONCATENATE("R",'Mapa final'!$A$79),"")</f>
        <v/>
      </c>
      <c r="AM34" s="472"/>
      <c r="AN34" s="473" t="str">
        <f>IF(AND('Mapa final'!$K$64="Alta",'Mapa final'!$O$64="Mayor"),CONCATENATE("R",'Mapa final'!$A$64),"")</f>
        <v/>
      </c>
      <c r="AO34" s="471"/>
      <c r="AP34" s="471" t="str">
        <f>IF(AND('Mapa final'!$K$67="Alta",'Mapa final'!$O$67="Mayor"),CONCATENATE("R",'Mapa final'!$A$67),"")</f>
        <v/>
      </c>
      <c r="AQ34" s="471"/>
      <c r="AR34" s="471" t="str">
        <f>IF(AND('Mapa final'!$K$73="Alta",'Mapa final'!$O$73="Mayor"),CONCATENATE("R",'Mapa final'!$A$73),"")</f>
        <v/>
      </c>
      <c r="AS34" s="471"/>
      <c r="AT34" s="471" t="str">
        <f>IF(AND('Mapa final'!$K$76="Alta",'Mapa final'!$O$76="Mayor"),CONCATENATE("R",'Mapa final'!$A$76),"")</f>
        <v/>
      </c>
      <c r="AU34" s="471"/>
      <c r="AV34" s="471" t="str">
        <f>IF(AND('Mapa final'!$K$79="Alta",'Mapa final'!$O$79="Mayor"),CONCATENATE("R",'Mapa final'!$A$79),"")</f>
        <v/>
      </c>
      <c r="AW34" s="472"/>
      <c r="AX34" s="467" t="str">
        <f>IF(AND('Mapa final'!$K$64="Alta",'Mapa final'!$O$64="Catastrófico"),CONCATENATE("R",'Mapa final'!$A$64),"")</f>
        <v/>
      </c>
      <c r="AY34" s="465"/>
      <c r="AZ34" s="465" t="str">
        <f>IF(AND('Mapa final'!$K$67="Alta",'Mapa final'!$O$67="Catastrófico"),CONCATENATE("R",'Mapa final'!$A$67),"")</f>
        <v/>
      </c>
      <c r="BA34" s="465"/>
      <c r="BB34" s="465" t="str">
        <f>IF(AND('Mapa final'!$K$73="Alta",'Mapa final'!$O$73="Catastrófico"),CONCATENATE("R",'Mapa final'!$A$73),"")</f>
        <v/>
      </c>
      <c r="BC34" s="465"/>
      <c r="BD34" s="465" t="str">
        <f>IF(AND('Mapa final'!$K$76="Alta",'Mapa final'!$O$76="Catastrófico"),CONCATENATE("R",'Mapa final'!$A$76),"")</f>
        <v/>
      </c>
      <c r="BE34" s="465"/>
      <c r="BF34" s="465" t="str">
        <f>IF(AND('Mapa final'!$K$79="Alta",'Mapa final'!$O$79="Catastrófico"),CONCATENATE("R",'Mapa final'!$A$79),"")</f>
        <v/>
      </c>
      <c r="BG34" s="466"/>
      <c r="BH34" s="55"/>
      <c r="BI34" s="505" t="s">
        <v>74</v>
      </c>
      <c r="BJ34" s="506"/>
      <c r="BK34" s="506"/>
      <c r="BL34" s="506"/>
      <c r="BM34" s="506"/>
      <c r="BN34" s="507"/>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c r="CP34" s="55"/>
      <c r="CQ34" s="55"/>
      <c r="CR34" s="55"/>
      <c r="CS34" s="55"/>
      <c r="CT34" s="55"/>
      <c r="CU34" s="55"/>
      <c r="CV34" s="55"/>
    </row>
    <row r="35" spans="1:100" ht="15" customHeight="1" x14ac:dyDescent="0.25">
      <c r="A35" s="55"/>
      <c r="B35" s="316"/>
      <c r="C35" s="316"/>
      <c r="D35" s="317"/>
      <c r="E35" s="534"/>
      <c r="F35" s="535"/>
      <c r="G35" s="535"/>
      <c r="H35" s="535"/>
      <c r="I35" s="535"/>
      <c r="J35" s="470"/>
      <c r="K35" s="468"/>
      <c r="L35" s="468"/>
      <c r="M35" s="468"/>
      <c r="N35" s="468"/>
      <c r="O35" s="468"/>
      <c r="P35" s="468"/>
      <c r="Q35" s="468"/>
      <c r="R35" s="468"/>
      <c r="S35" s="469"/>
      <c r="T35" s="470"/>
      <c r="U35" s="468"/>
      <c r="V35" s="468"/>
      <c r="W35" s="468"/>
      <c r="X35" s="468"/>
      <c r="Y35" s="468"/>
      <c r="Z35" s="468"/>
      <c r="AA35" s="468"/>
      <c r="AB35" s="468"/>
      <c r="AC35" s="469"/>
      <c r="AD35" s="473"/>
      <c r="AE35" s="471"/>
      <c r="AF35" s="471"/>
      <c r="AG35" s="471"/>
      <c r="AH35" s="471"/>
      <c r="AI35" s="471"/>
      <c r="AJ35" s="471"/>
      <c r="AK35" s="471"/>
      <c r="AL35" s="471"/>
      <c r="AM35" s="472"/>
      <c r="AN35" s="473"/>
      <c r="AO35" s="471"/>
      <c r="AP35" s="471"/>
      <c r="AQ35" s="471"/>
      <c r="AR35" s="471"/>
      <c r="AS35" s="471"/>
      <c r="AT35" s="471"/>
      <c r="AU35" s="471"/>
      <c r="AV35" s="471"/>
      <c r="AW35" s="472"/>
      <c r="AX35" s="467"/>
      <c r="AY35" s="465"/>
      <c r="AZ35" s="465"/>
      <c r="BA35" s="465"/>
      <c r="BB35" s="465"/>
      <c r="BC35" s="465"/>
      <c r="BD35" s="465"/>
      <c r="BE35" s="465"/>
      <c r="BF35" s="465"/>
      <c r="BG35" s="466"/>
      <c r="BH35" s="55"/>
      <c r="BI35" s="508"/>
      <c r="BJ35" s="509"/>
      <c r="BK35" s="509"/>
      <c r="BL35" s="509"/>
      <c r="BM35" s="509"/>
      <c r="BN35" s="510"/>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row>
    <row r="36" spans="1:100" ht="15" customHeight="1" x14ac:dyDescent="0.25">
      <c r="A36" s="55"/>
      <c r="B36" s="316"/>
      <c r="C36" s="316"/>
      <c r="D36" s="317"/>
      <c r="E36" s="534"/>
      <c r="F36" s="535"/>
      <c r="G36" s="535"/>
      <c r="H36" s="535"/>
      <c r="I36" s="535"/>
      <c r="J36" s="470" t="str">
        <f>IF(AND('Mapa final'!$K$82="Alta",'Mapa final'!$O$82="Leve"),CONCATENATE("R",'Mapa final'!$A$82),"")</f>
        <v/>
      </c>
      <c r="K36" s="468"/>
      <c r="L36" s="468" t="str">
        <f>IF(AND('Mapa final'!$K$85="Alta",'Mapa final'!$O$85="Leve"),CONCATENATE("R",'Mapa final'!$A$85),"")</f>
        <v/>
      </c>
      <c r="M36" s="468"/>
      <c r="N36" s="468" t="str">
        <f>IF(AND('Mapa final'!$K$88="Alta",'Mapa final'!$O$88="Leve"),CONCATENATE("R",'Mapa final'!$A$88),"")</f>
        <v/>
      </c>
      <c r="O36" s="468"/>
      <c r="P36" s="468" t="str">
        <f>IF(AND('Mapa final'!$K$91="Alta",'Mapa final'!$O$91="Leve"),CONCATENATE("R",'Mapa final'!$A$91),"")</f>
        <v/>
      </c>
      <c r="Q36" s="468"/>
      <c r="R36" s="468" t="str">
        <f>IF(AND('Mapa final'!$K$94="Alta",'Mapa final'!$O$94="Leve"),CONCATENATE("R",'Mapa final'!$A$94),"")</f>
        <v/>
      </c>
      <c r="S36" s="469"/>
      <c r="T36" s="470" t="str">
        <f>IF(AND('Mapa final'!$K$82="Alta",'Mapa final'!$O$82="Menor"),CONCATENATE("R",'Mapa final'!$A$82),"")</f>
        <v/>
      </c>
      <c r="U36" s="468"/>
      <c r="V36" s="468" t="str">
        <f>IF(AND('Mapa final'!$K$85="Alta",'Mapa final'!$O$85="Menor"),CONCATENATE("R",'Mapa final'!$A$85),"")</f>
        <v/>
      </c>
      <c r="W36" s="468"/>
      <c r="X36" s="468" t="str">
        <f>IF(AND('Mapa final'!$K$88="Alta",'Mapa final'!$O$88="Menor"),CONCATENATE("R",'Mapa final'!$A$88),"")</f>
        <v/>
      </c>
      <c r="Y36" s="468"/>
      <c r="Z36" s="468" t="str">
        <f>IF(AND('Mapa final'!$K$91="Alta",'Mapa final'!$O$91="Menor"),CONCATENATE("R",'Mapa final'!$A$91),"")</f>
        <v/>
      </c>
      <c r="AA36" s="468"/>
      <c r="AB36" s="468" t="str">
        <f>IF(AND('Mapa final'!$K$94="Alta",'Mapa final'!$O$94="Menor"),CONCATENATE("R",'Mapa final'!$A$94),"")</f>
        <v/>
      </c>
      <c r="AC36" s="469"/>
      <c r="AD36" s="473" t="str">
        <f>IF(AND('Mapa final'!$K$82="Alta",'Mapa final'!$O$82="Moderado"),CONCATENATE("R",'Mapa final'!$A$82),"")</f>
        <v/>
      </c>
      <c r="AE36" s="471"/>
      <c r="AF36" s="471" t="str">
        <f>IF(AND('Mapa final'!$K$85="Alta",'Mapa final'!$O$85="Moderado"),CONCATENATE("R",'Mapa final'!$A$85),"")</f>
        <v/>
      </c>
      <c r="AG36" s="471"/>
      <c r="AH36" s="471" t="str">
        <f>IF(AND('Mapa final'!$K$88="Alta",'Mapa final'!$O$88="Moderado"),CONCATENATE("R",'Mapa final'!$A$88),"")</f>
        <v/>
      </c>
      <c r="AI36" s="471"/>
      <c r="AJ36" s="471" t="str">
        <f>IF(AND('Mapa final'!$K$91="Alta",'Mapa final'!$O$91="Moderado"),CONCATENATE("R",'Mapa final'!$A$91),"")</f>
        <v/>
      </c>
      <c r="AK36" s="471"/>
      <c r="AL36" s="471" t="str">
        <f>IF(AND('Mapa final'!$K$94="Alta",'Mapa final'!$O$94="Moderado"),CONCATENATE("R",'Mapa final'!$A$94),"")</f>
        <v/>
      </c>
      <c r="AM36" s="472"/>
      <c r="AN36" s="473" t="str">
        <f>IF(AND('Mapa final'!$K$82="Alta",'Mapa final'!$O$82="Mayor"),CONCATENATE("R",'Mapa final'!$A$82),"")</f>
        <v/>
      </c>
      <c r="AO36" s="471"/>
      <c r="AP36" s="471" t="str">
        <f>IF(AND('Mapa final'!$K$85="Alta",'Mapa final'!$O$85="Mayor"),CONCATENATE("R",'Mapa final'!$A$85),"")</f>
        <v/>
      </c>
      <c r="AQ36" s="471"/>
      <c r="AR36" s="471" t="str">
        <f>IF(AND('Mapa final'!$K$88="Alta",'Mapa final'!$O$88="Mayor"),CONCATENATE("R",'Mapa final'!$A$88),"")</f>
        <v/>
      </c>
      <c r="AS36" s="471"/>
      <c r="AT36" s="471" t="str">
        <f>IF(AND('Mapa final'!$K$91="Alta",'Mapa final'!$O$91="Mayor"),CONCATENATE("R",'Mapa final'!$A$91),"")</f>
        <v/>
      </c>
      <c r="AU36" s="471"/>
      <c r="AV36" s="471" t="str">
        <f>IF(AND('Mapa final'!$K$94="Alta",'Mapa final'!$O$94="Mayor"),CONCATENATE("R",'Mapa final'!$A$94),"")</f>
        <v>R30</v>
      </c>
      <c r="AW36" s="472"/>
      <c r="AX36" s="467" t="str">
        <f>IF(AND('Mapa final'!$K$82="Alta",'Mapa final'!$O$82="Catastrófico"),CONCATENATE("R",'Mapa final'!$A$82),"")</f>
        <v/>
      </c>
      <c r="AY36" s="465"/>
      <c r="AZ36" s="465" t="str">
        <f>IF(AND('Mapa final'!$K$85="Alta",'Mapa final'!$O$85="Catastrófico"),CONCATENATE("R",'Mapa final'!$A$85),"")</f>
        <v/>
      </c>
      <c r="BA36" s="465"/>
      <c r="BB36" s="465" t="str">
        <f>IF(AND('Mapa final'!$K$88="Alta",'Mapa final'!$O$88="Catastrófico"),CONCATENATE("R",'Mapa final'!$A$88),"")</f>
        <v/>
      </c>
      <c r="BC36" s="465"/>
      <c r="BD36" s="465" t="str">
        <f>IF(AND('Mapa final'!$K$91="Alta",'Mapa final'!$O$91="Catastrófico"),CONCATENATE("R",'Mapa final'!$A$91),"")</f>
        <v/>
      </c>
      <c r="BE36" s="465"/>
      <c r="BF36" s="465" t="str">
        <f>IF(AND('Mapa final'!$K$94="Alta",'Mapa final'!$O$94="Catastrófico"),CONCATENATE("R",'Mapa final'!$A$94),"")</f>
        <v/>
      </c>
      <c r="BG36" s="466"/>
      <c r="BH36" s="55"/>
      <c r="BI36" s="508"/>
      <c r="BJ36" s="509"/>
      <c r="BK36" s="509"/>
      <c r="BL36" s="509"/>
      <c r="BM36" s="509"/>
      <c r="BN36" s="510"/>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L36" s="55"/>
      <c r="CM36" s="55"/>
      <c r="CN36" s="55"/>
      <c r="CO36" s="55"/>
      <c r="CP36" s="55"/>
      <c r="CQ36" s="55"/>
      <c r="CR36" s="55"/>
      <c r="CS36" s="55"/>
      <c r="CT36" s="55"/>
      <c r="CU36" s="55"/>
      <c r="CV36" s="55"/>
    </row>
    <row r="37" spans="1:100" ht="15" customHeight="1" x14ac:dyDescent="0.25">
      <c r="A37" s="55"/>
      <c r="B37" s="316"/>
      <c r="C37" s="316"/>
      <c r="D37" s="317"/>
      <c r="E37" s="534"/>
      <c r="F37" s="535"/>
      <c r="G37" s="535"/>
      <c r="H37" s="535"/>
      <c r="I37" s="535"/>
      <c r="J37" s="470"/>
      <c r="K37" s="468"/>
      <c r="L37" s="468"/>
      <c r="M37" s="468"/>
      <c r="N37" s="468"/>
      <c r="O37" s="468"/>
      <c r="P37" s="468"/>
      <c r="Q37" s="468"/>
      <c r="R37" s="468"/>
      <c r="S37" s="469"/>
      <c r="T37" s="470"/>
      <c r="U37" s="468"/>
      <c r="V37" s="468"/>
      <c r="W37" s="468"/>
      <c r="X37" s="468"/>
      <c r="Y37" s="468"/>
      <c r="Z37" s="468"/>
      <c r="AA37" s="468"/>
      <c r="AB37" s="468"/>
      <c r="AC37" s="469"/>
      <c r="AD37" s="473"/>
      <c r="AE37" s="471"/>
      <c r="AF37" s="471"/>
      <c r="AG37" s="471"/>
      <c r="AH37" s="471"/>
      <c r="AI37" s="471"/>
      <c r="AJ37" s="471"/>
      <c r="AK37" s="471"/>
      <c r="AL37" s="471"/>
      <c r="AM37" s="472"/>
      <c r="AN37" s="473"/>
      <c r="AO37" s="471"/>
      <c r="AP37" s="471"/>
      <c r="AQ37" s="471"/>
      <c r="AR37" s="471"/>
      <c r="AS37" s="471"/>
      <c r="AT37" s="471"/>
      <c r="AU37" s="471"/>
      <c r="AV37" s="471"/>
      <c r="AW37" s="472"/>
      <c r="AX37" s="467"/>
      <c r="AY37" s="465"/>
      <c r="AZ37" s="465"/>
      <c r="BA37" s="465"/>
      <c r="BB37" s="465"/>
      <c r="BC37" s="465"/>
      <c r="BD37" s="465"/>
      <c r="BE37" s="465"/>
      <c r="BF37" s="465"/>
      <c r="BG37" s="466"/>
      <c r="BH37" s="55"/>
      <c r="BI37" s="508"/>
      <c r="BJ37" s="509"/>
      <c r="BK37" s="509"/>
      <c r="BL37" s="509"/>
      <c r="BM37" s="509"/>
      <c r="BN37" s="510"/>
      <c r="BO37" s="55"/>
      <c r="BP37" s="55"/>
      <c r="BQ37" s="55"/>
      <c r="BR37" s="55"/>
      <c r="BS37" s="55"/>
      <c r="BT37" s="55"/>
      <c r="BU37" s="55"/>
      <c r="BV37" s="55"/>
      <c r="BW37" s="55"/>
      <c r="BX37" s="55"/>
      <c r="BY37" s="55"/>
      <c r="BZ37" s="55"/>
      <c r="CA37" s="55"/>
      <c r="CB37" s="55"/>
      <c r="CC37" s="55"/>
      <c r="CD37" s="55"/>
      <c r="CE37" s="55"/>
      <c r="CF37" s="55"/>
      <c r="CG37" s="55"/>
      <c r="CH37" s="55"/>
      <c r="CI37" s="55"/>
      <c r="CJ37" s="55"/>
      <c r="CK37" s="55"/>
      <c r="CL37" s="55"/>
      <c r="CM37" s="55"/>
      <c r="CN37" s="55"/>
      <c r="CO37" s="55"/>
      <c r="CP37" s="55"/>
      <c r="CQ37" s="55"/>
      <c r="CR37" s="55"/>
      <c r="CS37" s="55"/>
      <c r="CT37" s="55"/>
      <c r="CU37" s="55"/>
      <c r="CV37" s="55"/>
    </row>
    <row r="38" spans="1:100" ht="15" customHeight="1" x14ac:dyDescent="0.25">
      <c r="A38" s="55"/>
      <c r="B38" s="316"/>
      <c r="C38" s="316"/>
      <c r="D38" s="317"/>
      <c r="E38" s="534"/>
      <c r="F38" s="535"/>
      <c r="G38" s="535"/>
      <c r="H38" s="535"/>
      <c r="I38" s="535"/>
      <c r="J38" s="470" t="str">
        <f>IF(AND('Mapa final'!$K$97="Alta",'Mapa final'!$O$97="Leve"),CONCATENATE("R",'Mapa final'!$A$97),"")</f>
        <v/>
      </c>
      <c r="K38" s="468"/>
      <c r="L38" s="468" t="e">
        <f>IF(AND('Mapa final'!#REF!="Alta",'Mapa final'!#REF!="Leve"),CONCATENATE("R",'Mapa final'!#REF!),"")</f>
        <v>#REF!</v>
      </c>
      <c r="M38" s="468"/>
      <c r="N38" s="468" t="str">
        <f>IF(AND('Mapa final'!$K$100="Alta",'Mapa final'!$O$100="Leve"),CONCATENATE("R",'Mapa final'!$A$100),"")</f>
        <v/>
      </c>
      <c r="O38" s="468"/>
      <c r="P38" s="468" t="str">
        <f>IF(AND('Mapa final'!$K$103="Alta",'Mapa final'!$O$103="Leve"),CONCATENATE("R",'Mapa final'!$A$103),"")</f>
        <v/>
      </c>
      <c r="Q38" s="468"/>
      <c r="R38" s="468" t="str">
        <f>IF(AND('Mapa final'!$K$106="Alta",'Mapa final'!$O$106="Leve"),CONCATENATE("R",'Mapa final'!$A$106),"")</f>
        <v/>
      </c>
      <c r="S38" s="469"/>
      <c r="T38" s="470" t="str">
        <f>IF(AND('Mapa final'!$K$97="Alta",'Mapa final'!$O$97="Menor"),CONCATENATE("R",'Mapa final'!$A$97),"")</f>
        <v/>
      </c>
      <c r="U38" s="468"/>
      <c r="V38" s="468" t="e">
        <f>IF(AND('Mapa final'!#REF!="Alta",'Mapa final'!#REF!="Menor"),CONCATENATE("R",'Mapa final'!#REF!),"")</f>
        <v>#REF!</v>
      </c>
      <c r="W38" s="468"/>
      <c r="X38" s="468" t="str">
        <f>IF(AND('Mapa final'!$K$100="Alta",'Mapa final'!$O$100="Menor"),CONCATENATE("R",'Mapa final'!$A$100),"")</f>
        <v/>
      </c>
      <c r="Y38" s="468"/>
      <c r="Z38" s="468" t="str">
        <f>IF(AND('Mapa final'!$K$103="Alta",'Mapa final'!$O$103="Menor"),CONCATENATE("R",'Mapa final'!$A$103),"")</f>
        <v/>
      </c>
      <c r="AA38" s="468"/>
      <c r="AB38" s="468" t="str">
        <f>IF(AND('Mapa final'!$K$106="Alta",'Mapa final'!$O$106="Menor"),CONCATENATE("R",'Mapa final'!$A$106),"")</f>
        <v/>
      </c>
      <c r="AC38" s="469"/>
      <c r="AD38" s="473" t="str">
        <f>IF(AND('Mapa final'!$K$97="Alta",'Mapa final'!$O$97="Moderado"),CONCATENATE("R",'Mapa final'!$A$97),"")</f>
        <v/>
      </c>
      <c r="AE38" s="471"/>
      <c r="AF38" s="471" t="e">
        <f>IF(AND('Mapa final'!#REF!="Alta",'Mapa final'!#REF!="Moderado"),CONCATENATE("R",'Mapa final'!#REF!),"")</f>
        <v>#REF!</v>
      </c>
      <c r="AG38" s="471"/>
      <c r="AH38" s="471" t="str">
        <f>IF(AND('Mapa final'!$K$100="Alta",'Mapa final'!$O$100="Moderado"),CONCATENATE("R",'Mapa final'!$A$100),"")</f>
        <v>R32</v>
      </c>
      <c r="AI38" s="471"/>
      <c r="AJ38" s="471" t="str">
        <f>IF(AND('Mapa final'!$K$103="Alta",'Mapa final'!$O$103="Moderado"),CONCATENATE("R",'Mapa final'!$A$103),"")</f>
        <v/>
      </c>
      <c r="AK38" s="471"/>
      <c r="AL38" s="471" t="str">
        <f>IF(AND('Mapa final'!$K$106="Alta",'Mapa final'!$O$106="Moderado"),CONCATENATE("R",'Mapa final'!$A$106),"")</f>
        <v/>
      </c>
      <c r="AM38" s="472"/>
      <c r="AN38" s="473" t="str">
        <f>IF(AND('Mapa final'!$K$97="Alta",'Mapa final'!$O$97="Mayor"),CONCATENATE("R",'Mapa final'!$A$97),"")</f>
        <v/>
      </c>
      <c r="AO38" s="471"/>
      <c r="AP38" s="471" t="e">
        <f>IF(AND('Mapa final'!#REF!="Alta",'Mapa final'!#REF!="Mayor"),CONCATENATE("R",'Mapa final'!#REF!),"")</f>
        <v>#REF!</v>
      </c>
      <c r="AQ38" s="471"/>
      <c r="AR38" s="471" t="str">
        <f>IF(AND('Mapa final'!$K$100="Alta",'Mapa final'!$O$100="Mayor"),CONCATENATE("R",'Mapa final'!$A$100),"")</f>
        <v/>
      </c>
      <c r="AS38" s="471"/>
      <c r="AT38" s="471" t="str">
        <f>IF(AND('Mapa final'!$K$103="Alta",'Mapa final'!$O$103="Mayor"),CONCATENATE("R",'Mapa final'!$A$103),"")</f>
        <v/>
      </c>
      <c r="AU38" s="471"/>
      <c r="AV38" s="471" t="str">
        <f>IF(AND('Mapa final'!$K$106="Alta",'Mapa final'!$O$106="Mayor"),CONCATENATE("R",'Mapa final'!$A$106),"")</f>
        <v/>
      </c>
      <c r="AW38" s="472"/>
      <c r="AX38" s="467" t="str">
        <f>IF(AND('Mapa final'!$K$97="Alta",'Mapa final'!$O$97="Catastrófico"),CONCATENATE("R",'Mapa final'!$A$97),"")</f>
        <v/>
      </c>
      <c r="AY38" s="465"/>
      <c r="AZ38" s="465" t="e">
        <f>IF(AND('Mapa final'!#REF!="Alta",'Mapa final'!#REF!="Catastrófico"),CONCATENATE("R",'Mapa final'!#REF!),"")</f>
        <v>#REF!</v>
      </c>
      <c r="BA38" s="465"/>
      <c r="BB38" s="465" t="str">
        <f>IF(AND('Mapa final'!$K$100="Alta",'Mapa final'!$O$100="Catastrófico"),CONCATENATE("R",'Mapa final'!$A$100),"")</f>
        <v/>
      </c>
      <c r="BC38" s="465"/>
      <c r="BD38" s="465" t="str">
        <f>IF(AND('Mapa final'!$K$103="Alta",'Mapa final'!$O$103="Catastrófico"),CONCATENATE("R",'Mapa final'!$A$103),"")</f>
        <v/>
      </c>
      <c r="BE38" s="465"/>
      <c r="BF38" s="465" t="str">
        <f>IF(AND('Mapa final'!$K$106="Alta",'Mapa final'!$O$106="Catastrófico"),CONCATENATE("R",'Mapa final'!$A$106),"")</f>
        <v/>
      </c>
      <c r="BG38" s="466"/>
      <c r="BH38" s="55"/>
      <c r="BI38" s="508"/>
      <c r="BJ38" s="509"/>
      <c r="BK38" s="509"/>
      <c r="BL38" s="509"/>
      <c r="BM38" s="509"/>
      <c r="BN38" s="510"/>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L38" s="55"/>
      <c r="CM38" s="55"/>
      <c r="CN38" s="55"/>
      <c r="CO38" s="55"/>
      <c r="CP38" s="55"/>
      <c r="CQ38" s="55"/>
      <c r="CR38" s="55"/>
      <c r="CS38" s="55"/>
      <c r="CT38" s="55"/>
      <c r="CU38" s="55"/>
      <c r="CV38" s="55"/>
    </row>
    <row r="39" spans="1:100" ht="15" customHeight="1" x14ac:dyDescent="0.25">
      <c r="A39" s="55"/>
      <c r="B39" s="316"/>
      <c r="C39" s="316"/>
      <c r="D39" s="317"/>
      <c r="E39" s="534"/>
      <c r="F39" s="535"/>
      <c r="G39" s="535"/>
      <c r="H39" s="535"/>
      <c r="I39" s="535"/>
      <c r="J39" s="470"/>
      <c r="K39" s="468"/>
      <c r="L39" s="468"/>
      <c r="M39" s="468"/>
      <c r="N39" s="468"/>
      <c r="O39" s="468"/>
      <c r="P39" s="468"/>
      <c r="Q39" s="468"/>
      <c r="R39" s="468"/>
      <c r="S39" s="469"/>
      <c r="T39" s="470"/>
      <c r="U39" s="468"/>
      <c r="V39" s="468"/>
      <c r="W39" s="468"/>
      <c r="X39" s="468"/>
      <c r="Y39" s="468"/>
      <c r="Z39" s="468"/>
      <c r="AA39" s="468"/>
      <c r="AB39" s="468"/>
      <c r="AC39" s="469"/>
      <c r="AD39" s="473"/>
      <c r="AE39" s="471"/>
      <c r="AF39" s="471"/>
      <c r="AG39" s="471"/>
      <c r="AH39" s="471"/>
      <c r="AI39" s="471"/>
      <c r="AJ39" s="471"/>
      <c r="AK39" s="471"/>
      <c r="AL39" s="471"/>
      <c r="AM39" s="472"/>
      <c r="AN39" s="473"/>
      <c r="AO39" s="471"/>
      <c r="AP39" s="471"/>
      <c r="AQ39" s="471"/>
      <c r="AR39" s="471"/>
      <c r="AS39" s="471"/>
      <c r="AT39" s="471"/>
      <c r="AU39" s="471"/>
      <c r="AV39" s="471"/>
      <c r="AW39" s="472"/>
      <c r="AX39" s="467"/>
      <c r="AY39" s="465"/>
      <c r="AZ39" s="465"/>
      <c r="BA39" s="465"/>
      <c r="BB39" s="465"/>
      <c r="BC39" s="465"/>
      <c r="BD39" s="465"/>
      <c r="BE39" s="465"/>
      <c r="BF39" s="465"/>
      <c r="BG39" s="466"/>
      <c r="BH39" s="55"/>
      <c r="BI39" s="508"/>
      <c r="BJ39" s="509"/>
      <c r="BK39" s="509"/>
      <c r="BL39" s="509"/>
      <c r="BM39" s="509"/>
      <c r="BN39" s="510"/>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L39" s="55"/>
      <c r="CM39" s="55"/>
      <c r="CN39" s="55"/>
      <c r="CO39" s="55"/>
      <c r="CP39" s="55"/>
      <c r="CQ39" s="55"/>
      <c r="CR39" s="55"/>
      <c r="CS39" s="55"/>
      <c r="CT39" s="55"/>
      <c r="CU39" s="55"/>
      <c r="CV39" s="55"/>
    </row>
    <row r="40" spans="1:100" ht="15" customHeight="1" x14ac:dyDescent="0.25">
      <c r="A40" s="55"/>
      <c r="B40" s="316"/>
      <c r="C40" s="316"/>
      <c r="D40" s="317"/>
      <c r="E40" s="534"/>
      <c r="F40" s="535"/>
      <c r="G40" s="535"/>
      <c r="H40" s="535"/>
      <c r="I40" s="535"/>
      <c r="J40" s="470" t="str">
        <f>IF(AND('Mapa final'!$K$109="Alta",'Mapa final'!$O$109="Leve"),CONCATENATE("R",'Mapa final'!$A$109),"")</f>
        <v/>
      </c>
      <c r="K40" s="468"/>
      <c r="L40" s="468" t="str">
        <f>IF(AND('Mapa final'!$K$112="Alta",'Mapa final'!$O$112="Leve"),CONCATENATE("R",'Mapa final'!$A$112),"")</f>
        <v/>
      </c>
      <c r="M40" s="468"/>
      <c r="N40" s="468" t="str">
        <f>IF(AND('Mapa final'!$K$115="Alta",'Mapa final'!$O$115="Leve"),CONCATENATE("R",'Mapa final'!$A$115),"")</f>
        <v/>
      </c>
      <c r="O40" s="468"/>
      <c r="P40" s="468" t="str">
        <f>IF(AND('Mapa final'!$K$118="Alta",'Mapa final'!$O$118="Leve"),CONCATENATE("R",'Mapa final'!$A$118),"")</f>
        <v/>
      </c>
      <c r="Q40" s="468"/>
      <c r="R40" s="468" t="str">
        <f>IF(AND('Mapa final'!$K$121="Alta",'Mapa final'!$O$121="Leve"),CONCATENATE("R",'Mapa final'!$A$121),"")</f>
        <v/>
      </c>
      <c r="S40" s="469"/>
      <c r="T40" s="470" t="str">
        <f>IF(AND('Mapa final'!$K$109="Alta",'Mapa final'!$O$109="Menor"),CONCATENATE("R",'Mapa final'!$A$109),"")</f>
        <v/>
      </c>
      <c r="U40" s="468"/>
      <c r="V40" s="468" t="str">
        <f>IF(AND('Mapa final'!$K$112="Alta",'Mapa final'!$O$112="Menor"),CONCATENATE("R",'Mapa final'!$A$112),"")</f>
        <v/>
      </c>
      <c r="W40" s="468"/>
      <c r="X40" s="468" t="str">
        <f>IF(AND('Mapa final'!$K$115="Alta",'Mapa final'!$O$115="Menor"),CONCATENATE("R",'Mapa final'!$A$115),"")</f>
        <v/>
      </c>
      <c r="Y40" s="468"/>
      <c r="Z40" s="468" t="str">
        <f>IF(AND('Mapa final'!$K$118="Alta",'Mapa final'!$O$118="Menor"),CONCATENATE("R",'Mapa final'!$A$118),"")</f>
        <v/>
      </c>
      <c r="AA40" s="468"/>
      <c r="AB40" s="468" t="str">
        <f>IF(AND('Mapa final'!$K$121="Alta",'Mapa final'!$O$121="Menor"),CONCATENATE("R",'Mapa final'!$A$121),"")</f>
        <v/>
      </c>
      <c r="AC40" s="469"/>
      <c r="AD40" s="473" t="str">
        <f>IF(AND('Mapa final'!$K$109="Alta",'Mapa final'!$O$109="Moderado"),CONCATENATE("R",'Mapa final'!$A$109),"")</f>
        <v/>
      </c>
      <c r="AE40" s="471"/>
      <c r="AF40" s="471" t="str">
        <f>IF(AND('Mapa final'!$K$112="Alta",'Mapa final'!$O$112="Moderado"),CONCATENATE("R",'Mapa final'!$A$112),"")</f>
        <v/>
      </c>
      <c r="AG40" s="471"/>
      <c r="AH40" s="471" t="str">
        <f>IF(AND('Mapa final'!$K$115="Alta",'Mapa final'!$O$115="Moderado"),CONCATENATE("R",'Mapa final'!$A$115),"")</f>
        <v/>
      </c>
      <c r="AI40" s="471"/>
      <c r="AJ40" s="471" t="str">
        <f>IF(AND('Mapa final'!$K$118="Alta",'Mapa final'!$O$118="Moderado"),CONCATENATE("R",'Mapa final'!$A$118),"")</f>
        <v>R38</v>
      </c>
      <c r="AK40" s="471"/>
      <c r="AL40" s="471" t="str">
        <f>IF(AND('Mapa final'!$K$121="Alta",'Mapa final'!$O$121="Moderado"),CONCATENATE("R",'Mapa final'!$A$121),"")</f>
        <v/>
      </c>
      <c r="AM40" s="472"/>
      <c r="AN40" s="473" t="str">
        <f>IF(AND('Mapa final'!$K$109="Alta",'Mapa final'!$O$109="Mayor"),CONCATENATE("R",'Mapa final'!$A$109),"")</f>
        <v/>
      </c>
      <c r="AO40" s="471"/>
      <c r="AP40" s="471" t="str">
        <f>IF(AND('Mapa final'!$K$112="Alta",'Mapa final'!$O$112="Mayor"),CONCATENATE("R",'Mapa final'!$A$112),"")</f>
        <v/>
      </c>
      <c r="AQ40" s="471"/>
      <c r="AR40" s="471" t="str">
        <f>IF(AND('Mapa final'!$K$115="Alta",'Mapa final'!$O$115="Mayor"),CONCATENATE("R",'Mapa final'!$A$115),"")</f>
        <v/>
      </c>
      <c r="AS40" s="471"/>
      <c r="AT40" s="471" t="str">
        <f>IF(AND('Mapa final'!$K$118="Alta",'Mapa final'!$O$118="Mayor"),CONCATENATE("R",'Mapa final'!$A$118),"")</f>
        <v/>
      </c>
      <c r="AU40" s="471"/>
      <c r="AV40" s="471" t="str">
        <f>IF(AND('Mapa final'!$K$121="Alta",'Mapa final'!$O$121="Mayor"),CONCATENATE("R",'Mapa final'!$A$121),"")</f>
        <v/>
      </c>
      <c r="AW40" s="472"/>
      <c r="AX40" s="467" t="str">
        <f>IF(AND('Mapa final'!$K$109="Alta",'Mapa final'!$O$109="Catastrófico"),CONCATENATE("R",'Mapa final'!$A$109),"")</f>
        <v/>
      </c>
      <c r="AY40" s="465"/>
      <c r="AZ40" s="465" t="str">
        <f>IF(AND('Mapa final'!$K$112="Alta",'Mapa final'!$O$112="Catastrófico"),CONCATENATE("R",'Mapa final'!$A$112),"")</f>
        <v/>
      </c>
      <c r="BA40" s="465"/>
      <c r="BB40" s="465" t="str">
        <f>IF(AND('Mapa final'!$K$115="Alta",'Mapa final'!$O$115="Catastrófico"),CONCATENATE("R",'Mapa final'!$A$115),"")</f>
        <v/>
      </c>
      <c r="BC40" s="465"/>
      <c r="BD40" s="465" t="str">
        <f>IF(AND('Mapa final'!$K$118="Alta",'Mapa final'!$O$118="Catastrófico"),CONCATENATE("R",'Mapa final'!$A$118),"")</f>
        <v/>
      </c>
      <c r="BE40" s="465"/>
      <c r="BF40" s="465" t="str">
        <f>IF(AND('Mapa final'!$K$121="Alta",'Mapa final'!$O$121="Catastrófico"),CONCATENATE("R",'Mapa final'!$A$121),"")</f>
        <v/>
      </c>
      <c r="BG40" s="466"/>
      <c r="BH40" s="55"/>
      <c r="BI40" s="508"/>
      <c r="BJ40" s="509"/>
      <c r="BK40" s="509"/>
      <c r="BL40" s="509"/>
      <c r="BM40" s="509"/>
      <c r="BN40" s="510"/>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c r="CO40" s="55"/>
      <c r="CP40" s="55"/>
      <c r="CQ40" s="55"/>
      <c r="CR40" s="55"/>
      <c r="CS40" s="55"/>
      <c r="CT40" s="55"/>
      <c r="CU40" s="55"/>
      <c r="CV40" s="55"/>
    </row>
    <row r="41" spans="1:100" ht="15" customHeight="1" x14ac:dyDescent="0.25">
      <c r="A41" s="55"/>
      <c r="B41" s="316"/>
      <c r="C41" s="316"/>
      <c r="D41" s="317"/>
      <c r="E41" s="534"/>
      <c r="F41" s="535"/>
      <c r="G41" s="535"/>
      <c r="H41" s="535"/>
      <c r="I41" s="535"/>
      <c r="J41" s="470"/>
      <c r="K41" s="468"/>
      <c r="L41" s="468"/>
      <c r="M41" s="468"/>
      <c r="N41" s="468"/>
      <c r="O41" s="468"/>
      <c r="P41" s="468"/>
      <c r="Q41" s="468"/>
      <c r="R41" s="468"/>
      <c r="S41" s="469"/>
      <c r="T41" s="470"/>
      <c r="U41" s="468"/>
      <c r="V41" s="468"/>
      <c r="W41" s="468"/>
      <c r="X41" s="468"/>
      <c r="Y41" s="468"/>
      <c r="Z41" s="468"/>
      <c r="AA41" s="468"/>
      <c r="AB41" s="468"/>
      <c r="AC41" s="469"/>
      <c r="AD41" s="473"/>
      <c r="AE41" s="471"/>
      <c r="AF41" s="471"/>
      <c r="AG41" s="471"/>
      <c r="AH41" s="471"/>
      <c r="AI41" s="471"/>
      <c r="AJ41" s="471"/>
      <c r="AK41" s="471"/>
      <c r="AL41" s="471"/>
      <c r="AM41" s="472"/>
      <c r="AN41" s="473"/>
      <c r="AO41" s="471"/>
      <c r="AP41" s="471"/>
      <c r="AQ41" s="471"/>
      <c r="AR41" s="471"/>
      <c r="AS41" s="471"/>
      <c r="AT41" s="471"/>
      <c r="AU41" s="471"/>
      <c r="AV41" s="471"/>
      <c r="AW41" s="472"/>
      <c r="AX41" s="467"/>
      <c r="AY41" s="465"/>
      <c r="AZ41" s="465"/>
      <c r="BA41" s="465"/>
      <c r="BB41" s="465"/>
      <c r="BC41" s="465"/>
      <c r="BD41" s="465"/>
      <c r="BE41" s="465"/>
      <c r="BF41" s="465"/>
      <c r="BG41" s="466"/>
      <c r="BH41" s="55"/>
      <c r="BI41" s="508"/>
      <c r="BJ41" s="509"/>
      <c r="BK41" s="509"/>
      <c r="BL41" s="509"/>
      <c r="BM41" s="509"/>
      <c r="BN41" s="510"/>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row>
    <row r="42" spans="1:100" ht="15" customHeight="1" x14ac:dyDescent="0.25">
      <c r="A42" s="55"/>
      <c r="B42" s="316"/>
      <c r="C42" s="316"/>
      <c r="D42" s="317"/>
      <c r="E42" s="534"/>
      <c r="F42" s="535"/>
      <c r="G42" s="535"/>
      <c r="H42" s="535"/>
      <c r="I42" s="535"/>
      <c r="J42" s="470" t="str">
        <f>IF(AND('Mapa final'!$K$124="Alta",'Mapa final'!$O$124="Leve"),CONCATENATE("R",'Mapa final'!$A$124),"")</f>
        <v/>
      </c>
      <c r="K42" s="468"/>
      <c r="L42" s="468" t="str">
        <f>IF(AND('Mapa final'!$K$127="Alta",'Mapa final'!$O$127="Leve"),CONCATENATE("R",'Mapa final'!$A$127),"")</f>
        <v/>
      </c>
      <c r="M42" s="468"/>
      <c r="N42" s="468" t="str">
        <f>IF(AND('Mapa final'!$K$130="Alta",'Mapa final'!$O$130="Leve"),CONCATENATE("R",'Mapa final'!$A$130),"")</f>
        <v/>
      </c>
      <c r="O42" s="468"/>
      <c r="P42" s="468" t="str">
        <f>IF(AND('Mapa final'!$K$133="Alta",'Mapa final'!$O$133="Leve"),CONCATENATE("R",'Mapa final'!$A$133),"")</f>
        <v/>
      </c>
      <c r="Q42" s="468"/>
      <c r="R42" s="468" t="str">
        <f>IF(AND('Mapa final'!$K$136="Alta",'Mapa final'!$O$136="Leve"),CONCATENATE("R",'Mapa final'!$A$136),"")</f>
        <v/>
      </c>
      <c r="S42" s="469"/>
      <c r="T42" s="470" t="str">
        <f>IF(AND('Mapa final'!$K$124="Alta",'Mapa final'!$O$124="Menor"),CONCATENATE("R",'Mapa final'!$A$124),"")</f>
        <v/>
      </c>
      <c r="U42" s="468"/>
      <c r="V42" s="468" t="str">
        <f>IF(AND('Mapa final'!$K$127="Alta",'Mapa final'!$O$127="Menor"),CONCATENATE("R",'Mapa final'!$A$127),"")</f>
        <v/>
      </c>
      <c r="W42" s="468"/>
      <c r="X42" s="468" t="str">
        <f>IF(AND('Mapa final'!$K$130="Alta",'Mapa final'!$O$130="Menor"),CONCATENATE("R",'Mapa final'!$A$130),"")</f>
        <v/>
      </c>
      <c r="Y42" s="468"/>
      <c r="Z42" s="468" t="str">
        <f>IF(AND('Mapa final'!$K$133="Alta",'Mapa final'!$O$133="Menor"),CONCATENATE("R",'Mapa final'!$A$133),"")</f>
        <v/>
      </c>
      <c r="AA42" s="468"/>
      <c r="AB42" s="468" t="str">
        <f>IF(AND('Mapa final'!$K$136="Alta",'Mapa final'!$O$136="Menor"),CONCATENATE("R",'Mapa final'!$A$136),"")</f>
        <v/>
      </c>
      <c r="AC42" s="469"/>
      <c r="AD42" s="473" t="str">
        <f>IF(AND('Mapa final'!$K$124="Alta",'Mapa final'!$O$124="Moderado"),CONCATENATE("R",'Mapa final'!$A$124),"")</f>
        <v/>
      </c>
      <c r="AE42" s="471"/>
      <c r="AF42" s="471" t="str">
        <f>IF(AND('Mapa final'!$K$127="Alta",'Mapa final'!$O$127="Moderado"),CONCATENATE("R",'Mapa final'!$A$127),"")</f>
        <v/>
      </c>
      <c r="AG42" s="471"/>
      <c r="AH42" s="471" t="str">
        <f>IF(AND('Mapa final'!$K$130="Alta",'Mapa final'!$O$130="Moderado"),CONCATENATE("R",'Mapa final'!$A$130),"")</f>
        <v/>
      </c>
      <c r="AI42" s="471"/>
      <c r="AJ42" s="471" t="str">
        <f>IF(AND('Mapa final'!$K$133="Alta",'Mapa final'!$O$133="Moderado"),CONCATENATE("R",'Mapa final'!$A$133),"")</f>
        <v/>
      </c>
      <c r="AK42" s="471"/>
      <c r="AL42" s="471" t="str">
        <f>IF(AND('Mapa final'!$K$136="Alta",'Mapa final'!$O$136="Moderado"),CONCATENATE("R",'Mapa final'!$A$136),"")</f>
        <v/>
      </c>
      <c r="AM42" s="472"/>
      <c r="AN42" s="473" t="str">
        <f>IF(AND('Mapa final'!$K$124="Alta",'Mapa final'!$O$124="Mayor"),CONCATENATE("R",'Mapa final'!$A$124),"")</f>
        <v/>
      </c>
      <c r="AO42" s="471"/>
      <c r="AP42" s="471" t="str">
        <f>IF(AND('Mapa final'!$K$127="Alta",'Mapa final'!$O$127="Mayor"),CONCATENATE("R",'Mapa final'!$A$127),"")</f>
        <v/>
      </c>
      <c r="AQ42" s="471"/>
      <c r="AR42" s="471" t="str">
        <f>IF(AND('Mapa final'!$K$130="Alta",'Mapa final'!$O$130="Mayor"),CONCATENATE("R",'Mapa final'!$A$130),"")</f>
        <v/>
      </c>
      <c r="AS42" s="471"/>
      <c r="AT42" s="471" t="str">
        <f>IF(AND('Mapa final'!$K$133="Alta",'Mapa final'!$O$133="Mayor"),CONCATENATE("R",'Mapa final'!$A$133),"")</f>
        <v/>
      </c>
      <c r="AU42" s="471"/>
      <c r="AV42" s="471" t="str">
        <f>IF(AND('Mapa final'!$K$136="Alta",'Mapa final'!$O$136="Mayor"),CONCATENATE("R",'Mapa final'!$A$136),"")</f>
        <v/>
      </c>
      <c r="AW42" s="472"/>
      <c r="AX42" s="467" t="str">
        <f>IF(AND('Mapa final'!$K$124="Alta",'Mapa final'!$O$124="Catastrófico"),CONCATENATE("R",'Mapa final'!$A$124),"")</f>
        <v/>
      </c>
      <c r="AY42" s="465"/>
      <c r="AZ42" s="465" t="str">
        <f>IF(AND('Mapa final'!$K$127="Alta",'Mapa final'!$O$127="Catastrófico"),CONCATENATE("R",'Mapa final'!$A$127),"")</f>
        <v/>
      </c>
      <c r="BA42" s="465"/>
      <c r="BB42" s="465" t="str">
        <f>IF(AND('Mapa final'!$K$130="Alta",'Mapa final'!$O$130="Catastrófico"),CONCATENATE("R",'Mapa final'!$A$130),"")</f>
        <v/>
      </c>
      <c r="BC42" s="465"/>
      <c r="BD42" s="465" t="str">
        <f>IF(AND('Mapa final'!$K$133="Alta",'Mapa final'!$O$133="Catastrófico"),CONCATENATE("R",'Mapa final'!$A$133),"")</f>
        <v/>
      </c>
      <c r="BE42" s="465"/>
      <c r="BF42" s="465" t="str">
        <f>IF(AND('Mapa final'!$K$136="Alta",'Mapa final'!$O$136="Catastrófico"),CONCATENATE("R",'Mapa final'!$A$136),"")</f>
        <v/>
      </c>
      <c r="BG42" s="466"/>
      <c r="BH42" s="55"/>
      <c r="BI42" s="508"/>
      <c r="BJ42" s="509"/>
      <c r="BK42" s="509"/>
      <c r="BL42" s="509"/>
      <c r="BM42" s="509"/>
      <c r="BN42" s="510"/>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L42" s="55"/>
      <c r="CM42" s="55"/>
      <c r="CN42" s="55"/>
      <c r="CO42" s="55"/>
      <c r="CP42" s="55"/>
      <c r="CQ42" s="55"/>
      <c r="CR42" s="55"/>
      <c r="CS42" s="55"/>
      <c r="CT42" s="55"/>
      <c r="CU42" s="55"/>
      <c r="CV42" s="55"/>
    </row>
    <row r="43" spans="1:100" ht="15" customHeight="1" x14ac:dyDescent="0.25">
      <c r="A43" s="55"/>
      <c r="B43" s="316"/>
      <c r="C43" s="316"/>
      <c r="D43" s="317"/>
      <c r="E43" s="534"/>
      <c r="F43" s="535"/>
      <c r="G43" s="535"/>
      <c r="H43" s="535"/>
      <c r="I43" s="535"/>
      <c r="J43" s="470"/>
      <c r="K43" s="468"/>
      <c r="L43" s="468"/>
      <c r="M43" s="468"/>
      <c r="N43" s="468"/>
      <c r="O43" s="468"/>
      <c r="P43" s="468"/>
      <c r="Q43" s="468"/>
      <c r="R43" s="468"/>
      <c r="S43" s="469"/>
      <c r="T43" s="470"/>
      <c r="U43" s="468"/>
      <c r="V43" s="468"/>
      <c r="W43" s="468"/>
      <c r="X43" s="468"/>
      <c r="Y43" s="468"/>
      <c r="Z43" s="468"/>
      <c r="AA43" s="468"/>
      <c r="AB43" s="468"/>
      <c r="AC43" s="469"/>
      <c r="AD43" s="473"/>
      <c r="AE43" s="471"/>
      <c r="AF43" s="471"/>
      <c r="AG43" s="471"/>
      <c r="AH43" s="471"/>
      <c r="AI43" s="471"/>
      <c r="AJ43" s="471"/>
      <c r="AK43" s="471"/>
      <c r="AL43" s="471"/>
      <c r="AM43" s="472"/>
      <c r="AN43" s="473"/>
      <c r="AO43" s="471"/>
      <c r="AP43" s="471"/>
      <c r="AQ43" s="471"/>
      <c r="AR43" s="471"/>
      <c r="AS43" s="471"/>
      <c r="AT43" s="471"/>
      <c r="AU43" s="471"/>
      <c r="AV43" s="471"/>
      <c r="AW43" s="472"/>
      <c r="AX43" s="467"/>
      <c r="AY43" s="465"/>
      <c r="AZ43" s="465"/>
      <c r="BA43" s="465"/>
      <c r="BB43" s="465"/>
      <c r="BC43" s="465"/>
      <c r="BD43" s="465"/>
      <c r="BE43" s="465"/>
      <c r="BF43" s="465"/>
      <c r="BG43" s="466"/>
      <c r="BH43" s="55"/>
      <c r="BI43" s="508"/>
      <c r="BJ43" s="509"/>
      <c r="BK43" s="509"/>
      <c r="BL43" s="509"/>
      <c r="BM43" s="509"/>
      <c r="BN43" s="510"/>
      <c r="BO43" s="55"/>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c r="CO43" s="55"/>
      <c r="CP43" s="55"/>
      <c r="CQ43" s="55"/>
      <c r="CR43" s="55"/>
      <c r="CS43" s="55"/>
      <c r="CT43" s="55"/>
      <c r="CU43" s="55"/>
      <c r="CV43" s="55"/>
    </row>
    <row r="44" spans="1:100" ht="15" customHeight="1" x14ac:dyDescent="0.25">
      <c r="A44" s="55"/>
      <c r="B44" s="316"/>
      <c r="C44" s="316"/>
      <c r="D44" s="317"/>
      <c r="E44" s="534"/>
      <c r="F44" s="535"/>
      <c r="G44" s="535"/>
      <c r="H44" s="535"/>
      <c r="I44" s="535"/>
      <c r="J44" s="470" t="str">
        <f>IF(AND('Mapa final'!$K$139="Alta",'Mapa final'!$O$139="Leve"),CONCATENATE("R",'Mapa final'!$A$139),"")</f>
        <v/>
      </c>
      <c r="K44" s="468"/>
      <c r="L44" s="468" t="str">
        <f>IF(AND('Mapa final'!$K$142="Alta",'Mapa final'!$O$142="Leve"),CONCATENATE("R",'Mapa final'!$A$142),"")</f>
        <v/>
      </c>
      <c r="M44" s="468"/>
      <c r="N44" s="468" t="str">
        <f>IF(AND('Mapa final'!$K$145="Alta",'Mapa final'!$O$145="Leve"),CONCATENATE("R",'Mapa final'!$A$145),"")</f>
        <v/>
      </c>
      <c r="O44" s="468"/>
      <c r="P44" s="468" t="str">
        <f>IF(AND('Mapa final'!$K$148="Alta",'Mapa final'!$O$148="Leve"),CONCATENATE("R",'Mapa final'!$A$148),"")</f>
        <v/>
      </c>
      <c r="Q44" s="468"/>
      <c r="R44" s="468" t="str">
        <f>IF(AND('Mapa final'!$K$151="Alta",'Mapa final'!$O$151="Leve"),CONCATENATE("R",'Mapa final'!$A$151),"")</f>
        <v/>
      </c>
      <c r="S44" s="469"/>
      <c r="T44" s="470" t="str">
        <f>IF(AND('Mapa final'!$K$139="Alta",'Mapa final'!$O$139="Menor"),CONCATENATE("R",'Mapa final'!$A$139),"")</f>
        <v/>
      </c>
      <c r="U44" s="468"/>
      <c r="V44" s="468" t="str">
        <f>IF(AND('Mapa final'!$K$142="Alta",'Mapa final'!$O$142="Menor"),CONCATENATE("R",'Mapa final'!$A$142),"")</f>
        <v/>
      </c>
      <c r="W44" s="468"/>
      <c r="X44" s="468" t="str">
        <f>IF(AND('Mapa final'!$K$145="Alta",'Mapa final'!$O$145="Menor"),CONCATENATE("R",'Mapa final'!$A$145),"")</f>
        <v/>
      </c>
      <c r="Y44" s="468"/>
      <c r="Z44" s="468" t="str">
        <f>IF(AND('Mapa final'!$K$148="Alta",'Mapa final'!$O$148="Menor"),CONCATENATE("R",'Mapa final'!$A$148),"")</f>
        <v/>
      </c>
      <c r="AA44" s="468"/>
      <c r="AB44" s="468" t="str">
        <f>IF(AND('Mapa final'!$K$151="Alta",'Mapa final'!$O$151="Menor"),CONCATENATE("R",'Mapa final'!$A$151),"")</f>
        <v/>
      </c>
      <c r="AC44" s="469"/>
      <c r="AD44" s="473" t="str">
        <f>IF(AND('Mapa final'!$K$139="Alta",'Mapa final'!$O$139="Moderado"),CONCATENATE("R",'Mapa final'!$A$139),"")</f>
        <v/>
      </c>
      <c r="AE44" s="471"/>
      <c r="AF44" s="471" t="str">
        <f>IF(AND('Mapa final'!$K$142="Alta",'Mapa final'!$O$142="Moderado"),CONCATENATE("R",'Mapa final'!$A$142),"")</f>
        <v/>
      </c>
      <c r="AG44" s="471"/>
      <c r="AH44" s="471" t="str">
        <f>IF(AND('Mapa final'!$K$145="Alta",'Mapa final'!$O$145="Moderado"),CONCATENATE("R",'Mapa final'!$A$145),"")</f>
        <v/>
      </c>
      <c r="AI44" s="471"/>
      <c r="AJ44" s="471" t="str">
        <f>IF(AND('Mapa final'!$K$148="Alta",'Mapa final'!$O$148="Moderado"),CONCATENATE("R",'Mapa final'!$A$148),"")</f>
        <v/>
      </c>
      <c r="AK44" s="471"/>
      <c r="AL44" s="471" t="str">
        <f>IF(AND('Mapa final'!$K$151="Alta",'Mapa final'!$O$151="Moderado"),CONCATENATE("R",'Mapa final'!$A$151),"")</f>
        <v/>
      </c>
      <c r="AM44" s="472"/>
      <c r="AN44" s="473" t="str">
        <f>IF(AND('Mapa final'!$K$139="Alta",'Mapa final'!$O$139="Mayor"),CONCATENATE("R",'Mapa final'!$A$139),"")</f>
        <v/>
      </c>
      <c r="AO44" s="471"/>
      <c r="AP44" s="471" t="str">
        <f>IF(AND('Mapa final'!$K$142="Alta",'Mapa final'!$O$142="Mayor"),CONCATENATE("R",'Mapa final'!$A$142),"")</f>
        <v/>
      </c>
      <c r="AQ44" s="471"/>
      <c r="AR44" s="471" t="str">
        <f>IF(AND('Mapa final'!$K$145="Alta",'Mapa final'!$O$145="Mayor"),CONCATENATE("R",'Mapa final'!$A$145),"")</f>
        <v/>
      </c>
      <c r="AS44" s="471"/>
      <c r="AT44" s="471" t="str">
        <f>IF(AND('Mapa final'!$K$148="Alta",'Mapa final'!$O$148="Mayor"),CONCATENATE("R",'Mapa final'!$A$148),"")</f>
        <v/>
      </c>
      <c r="AU44" s="471"/>
      <c r="AV44" s="471" t="str">
        <f>IF(AND('Mapa final'!$K$151="Alta",'Mapa final'!$O$151="Mayor"),CONCATENATE("R",'Mapa final'!$A$151),"")</f>
        <v/>
      </c>
      <c r="AW44" s="472"/>
      <c r="AX44" s="467" t="str">
        <f>IF(AND('Mapa final'!$K$139="Alta",'Mapa final'!$O$139="Catastrófico"),CONCATENATE("R",'Mapa final'!$A$139),"")</f>
        <v/>
      </c>
      <c r="AY44" s="465"/>
      <c r="AZ44" s="465" t="str">
        <f>IF(AND('Mapa final'!$K$142="Alta",'Mapa final'!$O$142="Catastrófico"),CONCATENATE("R",'Mapa final'!$A$142),"")</f>
        <v/>
      </c>
      <c r="BA44" s="465"/>
      <c r="BB44" s="465" t="str">
        <f>IF(AND('Mapa final'!$K$145="Alta",'Mapa final'!$O$145="Catastrófico"),CONCATENATE("R",'Mapa final'!$A$145),"")</f>
        <v/>
      </c>
      <c r="BC44" s="465"/>
      <c r="BD44" s="465" t="str">
        <f>IF(AND('Mapa final'!$K$148="Alta",'Mapa final'!$O$148="Catastrófico"),CONCATENATE("R",'Mapa final'!$A$148),"")</f>
        <v/>
      </c>
      <c r="BE44" s="465"/>
      <c r="BF44" s="465" t="str">
        <f>IF(AND('Mapa final'!$K$151="Alta",'Mapa final'!$O$151="Catastrófico"),CONCATENATE("R",'Mapa final'!$A$151),"")</f>
        <v/>
      </c>
      <c r="BG44" s="466"/>
      <c r="BH44" s="55"/>
      <c r="BI44" s="508"/>
      <c r="BJ44" s="509"/>
      <c r="BK44" s="509"/>
      <c r="BL44" s="509"/>
      <c r="BM44" s="509"/>
      <c r="BN44" s="510"/>
      <c r="BO44" s="55"/>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c r="CO44" s="55"/>
      <c r="CP44" s="55"/>
      <c r="CQ44" s="55"/>
      <c r="CR44" s="55"/>
      <c r="CS44" s="55"/>
      <c r="CT44" s="55"/>
      <c r="CU44" s="55"/>
      <c r="CV44" s="55"/>
    </row>
    <row r="45" spans="1:100" ht="15" customHeight="1" thickBot="1" x14ac:dyDescent="0.3">
      <c r="A45" s="55"/>
      <c r="B45" s="316"/>
      <c r="C45" s="316"/>
      <c r="D45" s="317"/>
      <c r="E45" s="534"/>
      <c r="F45" s="535"/>
      <c r="G45" s="535"/>
      <c r="H45" s="535"/>
      <c r="I45" s="535"/>
      <c r="J45" s="480"/>
      <c r="K45" s="481"/>
      <c r="L45" s="481"/>
      <c r="M45" s="481"/>
      <c r="N45" s="481"/>
      <c r="O45" s="481"/>
      <c r="P45" s="481"/>
      <c r="Q45" s="481"/>
      <c r="R45" s="481"/>
      <c r="S45" s="482"/>
      <c r="T45" s="480"/>
      <c r="U45" s="481"/>
      <c r="V45" s="481"/>
      <c r="W45" s="481"/>
      <c r="X45" s="481"/>
      <c r="Y45" s="481"/>
      <c r="Z45" s="481"/>
      <c r="AA45" s="481"/>
      <c r="AB45" s="481"/>
      <c r="AC45" s="482"/>
      <c r="AD45" s="474"/>
      <c r="AE45" s="475"/>
      <c r="AF45" s="475"/>
      <c r="AG45" s="475"/>
      <c r="AH45" s="475"/>
      <c r="AI45" s="475"/>
      <c r="AJ45" s="475"/>
      <c r="AK45" s="475"/>
      <c r="AL45" s="475"/>
      <c r="AM45" s="476"/>
      <c r="AN45" s="474"/>
      <c r="AO45" s="475"/>
      <c r="AP45" s="475"/>
      <c r="AQ45" s="475"/>
      <c r="AR45" s="475"/>
      <c r="AS45" s="475"/>
      <c r="AT45" s="475"/>
      <c r="AU45" s="475"/>
      <c r="AV45" s="475"/>
      <c r="AW45" s="476"/>
      <c r="AX45" s="487"/>
      <c r="AY45" s="486"/>
      <c r="AZ45" s="486"/>
      <c r="BA45" s="486"/>
      <c r="BB45" s="486"/>
      <c r="BC45" s="486"/>
      <c r="BD45" s="486"/>
      <c r="BE45" s="486"/>
      <c r="BF45" s="486"/>
      <c r="BG45" s="488"/>
      <c r="BH45" s="55"/>
      <c r="BI45" s="508"/>
      <c r="BJ45" s="509"/>
      <c r="BK45" s="509"/>
      <c r="BL45" s="509"/>
      <c r="BM45" s="509"/>
      <c r="BN45" s="510"/>
      <c r="BO45" s="55"/>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c r="CO45" s="55"/>
      <c r="CP45" s="55"/>
      <c r="CQ45" s="55"/>
      <c r="CR45" s="55"/>
      <c r="CS45" s="55"/>
      <c r="CT45" s="55"/>
      <c r="CU45" s="55"/>
      <c r="CV45" s="55"/>
    </row>
    <row r="46" spans="1:100" ht="15" customHeight="1" x14ac:dyDescent="0.25">
      <c r="A46" s="55"/>
      <c r="B46" s="316"/>
      <c r="C46" s="316"/>
      <c r="D46" s="317"/>
      <c r="E46" s="532" t="s">
        <v>108</v>
      </c>
      <c r="F46" s="533"/>
      <c r="G46" s="533"/>
      <c r="H46" s="533"/>
      <c r="I46" s="533"/>
      <c r="J46" s="477" t="str">
        <f>IF(AND('Mapa final'!$K$7="Media",'Mapa final'!$O$7="Leve"),CONCATENATE("R",'Mapa final'!$A$7),"")</f>
        <v/>
      </c>
      <c r="K46" s="478"/>
      <c r="L46" s="478" t="str">
        <f>IF(AND('Mapa final'!$K$10="Media",'Mapa final'!$O$10="Leve"),CONCATENATE("R",'Mapa final'!$A$10),"")</f>
        <v/>
      </c>
      <c r="M46" s="478"/>
      <c r="N46" s="478" t="str">
        <f>IF(AND('Mapa final'!$K$13="Media",'Mapa final'!$O$13="Leve"),CONCATENATE("R",'Mapa final'!$A$13),"")</f>
        <v/>
      </c>
      <c r="O46" s="478"/>
      <c r="P46" s="478" t="e">
        <f>IF(AND('Mapa final'!#REF!="Media",'Mapa final'!#REF!="Leve"),CONCATENATE("R",'Mapa final'!#REF!),"")</f>
        <v>#REF!</v>
      </c>
      <c r="Q46" s="478"/>
      <c r="R46" s="478" t="str">
        <f>IF(AND('Mapa final'!$K$16="Media",'Mapa final'!$O$16="Leve"),CONCATENATE("R",'Mapa final'!$A$16),"")</f>
        <v/>
      </c>
      <c r="S46" s="479"/>
      <c r="T46" s="477" t="str">
        <f>IF(AND('Mapa final'!$K$7="Media",'Mapa final'!$O$7="Menor"),CONCATENATE("R",'Mapa final'!$A$7),"")</f>
        <v/>
      </c>
      <c r="U46" s="478"/>
      <c r="V46" s="478" t="str">
        <f>IF(AND('Mapa final'!$K$10="Media",'Mapa final'!$O$10="Menor"),CONCATENATE("R",'Mapa final'!$A$10),"")</f>
        <v/>
      </c>
      <c r="W46" s="478"/>
      <c r="X46" s="478" t="str">
        <f>IF(AND('Mapa final'!$K$13="Media",'Mapa final'!$O$13="Menor"),CONCATENATE("R",'Mapa final'!$A$13),"")</f>
        <v/>
      </c>
      <c r="Y46" s="478"/>
      <c r="Z46" s="478" t="e">
        <f>IF(AND('Mapa final'!#REF!="Media",'Mapa final'!#REF!="Menor"),CONCATENATE("R",'Mapa final'!#REF!),"")</f>
        <v>#REF!</v>
      </c>
      <c r="AA46" s="478"/>
      <c r="AB46" s="478" t="str">
        <f>IF(AND('Mapa final'!$K$16="Media",'Mapa final'!$O$16="Menor"),CONCATENATE("R",'Mapa final'!$A$16),"")</f>
        <v/>
      </c>
      <c r="AC46" s="479"/>
      <c r="AD46" s="477" t="str">
        <f>IF(AND('Mapa final'!$K$7="Media",'Mapa final'!$O$7="Moderado"),CONCATENATE("R",'Mapa final'!$A$7),"")</f>
        <v/>
      </c>
      <c r="AE46" s="478"/>
      <c r="AF46" s="478" t="str">
        <f>IF(AND('Mapa final'!$K$10="Media",'Mapa final'!$O$10="Moderado"),CONCATENATE("R",'Mapa final'!$A$10),"")</f>
        <v>R2</v>
      </c>
      <c r="AG46" s="478"/>
      <c r="AH46" s="478" t="str">
        <f>IF(AND('Mapa final'!$K$13="Media",'Mapa final'!$O$13="Moderado"),CONCATENATE("R",'Mapa final'!$A$13),"")</f>
        <v/>
      </c>
      <c r="AI46" s="478"/>
      <c r="AJ46" s="478" t="e">
        <f>IF(AND('Mapa final'!#REF!="Media",'Mapa final'!#REF!="Moderado"),CONCATENATE("R",'Mapa final'!#REF!),"")</f>
        <v>#REF!</v>
      </c>
      <c r="AK46" s="478"/>
      <c r="AL46" s="478" t="str">
        <f>IF(AND('Mapa final'!$K$16="Media",'Mapa final'!$O$16="Moderado"),CONCATENATE("R",'Mapa final'!$A$16),"")</f>
        <v>R4</v>
      </c>
      <c r="AM46" s="479"/>
      <c r="AN46" s="483" t="str">
        <f>IF(AND('Mapa final'!$K$7="Media",'Mapa final'!$O$7="Mayor"),CONCATENATE("R",'Mapa final'!$A$7),"")</f>
        <v/>
      </c>
      <c r="AO46" s="484"/>
      <c r="AP46" s="484" t="str">
        <f>IF(AND('Mapa final'!$K$10="Media",'Mapa final'!$O$10="Mayor"),CONCATENATE("R",'Mapa final'!$A$10),"")</f>
        <v/>
      </c>
      <c r="AQ46" s="484"/>
      <c r="AR46" s="484" t="str">
        <f>IF(AND('Mapa final'!$K$13="Media",'Mapa final'!$O$13="Mayor"),CONCATENATE("R",'Mapa final'!$A$13),"")</f>
        <v/>
      </c>
      <c r="AS46" s="484"/>
      <c r="AT46" s="484" t="e">
        <f>IF(AND('Mapa final'!#REF!="Media",'Mapa final'!#REF!="Mayor"),CONCATENATE("R",'Mapa final'!#REF!),"")</f>
        <v>#REF!</v>
      </c>
      <c r="AU46" s="484"/>
      <c r="AV46" s="484" t="str">
        <f>IF(AND('Mapa final'!$K$16="Media",'Mapa final'!$O$16="Mayor"),CONCATENATE("R",'Mapa final'!$A$16),"")</f>
        <v/>
      </c>
      <c r="AW46" s="485"/>
      <c r="AX46" s="490" t="str">
        <f>IF(AND('Mapa final'!$K$7="Media",'Mapa final'!$O$7="Catastrófico"),CONCATENATE("R",'Mapa final'!$A$7),"")</f>
        <v/>
      </c>
      <c r="AY46" s="489"/>
      <c r="AZ46" s="489" t="str">
        <f>IF(AND('Mapa final'!$K$10="Media",'Mapa final'!$O$10="Catastrófico"),CONCATENATE("R",'Mapa final'!$A$10),"")</f>
        <v/>
      </c>
      <c r="BA46" s="489"/>
      <c r="BB46" s="489" t="str">
        <f>IF(AND('Mapa final'!$K$13="Media",'Mapa final'!$O$13="Catastrófico"),CONCATENATE("R",'Mapa final'!$A$13),"")</f>
        <v/>
      </c>
      <c r="BC46" s="489"/>
      <c r="BD46" s="489" t="e">
        <f>IF(AND('Mapa final'!#REF!="Media",'Mapa final'!#REF!="Catastrófico"),CONCATENATE("R",'Mapa final'!#REF!),"")</f>
        <v>#REF!</v>
      </c>
      <c r="BE46" s="489"/>
      <c r="BF46" s="489" t="str">
        <f>IF(AND('Mapa final'!$K$16="Media",'Mapa final'!$O$16="Catastrófico"),CONCATENATE("R",'Mapa final'!$A$16),"")</f>
        <v/>
      </c>
      <c r="BG46" s="545"/>
      <c r="BH46" s="55"/>
      <c r="BI46" s="508"/>
      <c r="BJ46" s="509"/>
      <c r="BK46" s="509"/>
      <c r="BL46" s="509"/>
      <c r="BM46" s="509"/>
      <c r="BN46" s="510"/>
      <c r="BO46" s="55"/>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c r="CO46" s="55"/>
      <c r="CP46" s="55"/>
      <c r="CQ46" s="55"/>
      <c r="CR46" s="55"/>
      <c r="CS46" s="55"/>
      <c r="CT46" s="55"/>
      <c r="CU46" s="55"/>
      <c r="CV46" s="55"/>
    </row>
    <row r="47" spans="1:100" ht="15" customHeight="1" x14ac:dyDescent="0.25">
      <c r="A47" s="55"/>
      <c r="B47" s="316"/>
      <c r="C47" s="316"/>
      <c r="D47" s="317"/>
      <c r="E47" s="534"/>
      <c r="F47" s="535"/>
      <c r="G47" s="535"/>
      <c r="H47" s="535"/>
      <c r="I47" s="535"/>
      <c r="J47" s="470"/>
      <c r="K47" s="468"/>
      <c r="L47" s="468"/>
      <c r="M47" s="468"/>
      <c r="N47" s="468"/>
      <c r="O47" s="468"/>
      <c r="P47" s="468"/>
      <c r="Q47" s="468"/>
      <c r="R47" s="468"/>
      <c r="S47" s="469"/>
      <c r="T47" s="470"/>
      <c r="U47" s="468"/>
      <c r="V47" s="468"/>
      <c r="W47" s="468"/>
      <c r="X47" s="468"/>
      <c r="Y47" s="468"/>
      <c r="Z47" s="468"/>
      <c r="AA47" s="468"/>
      <c r="AB47" s="468"/>
      <c r="AC47" s="469"/>
      <c r="AD47" s="470"/>
      <c r="AE47" s="468"/>
      <c r="AF47" s="468"/>
      <c r="AG47" s="468"/>
      <c r="AH47" s="468"/>
      <c r="AI47" s="468"/>
      <c r="AJ47" s="468"/>
      <c r="AK47" s="468"/>
      <c r="AL47" s="468"/>
      <c r="AM47" s="469"/>
      <c r="AN47" s="473"/>
      <c r="AO47" s="471"/>
      <c r="AP47" s="471"/>
      <c r="AQ47" s="471"/>
      <c r="AR47" s="471"/>
      <c r="AS47" s="471"/>
      <c r="AT47" s="471"/>
      <c r="AU47" s="471"/>
      <c r="AV47" s="471"/>
      <c r="AW47" s="472"/>
      <c r="AX47" s="467"/>
      <c r="AY47" s="465"/>
      <c r="AZ47" s="465"/>
      <c r="BA47" s="465"/>
      <c r="BB47" s="465"/>
      <c r="BC47" s="465"/>
      <c r="BD47" s="465"/>
      <c r="BE47" s="465"/>
      <c r="BF47" s="465"/>
      <c r="BG47" s="466"/>
      <c r="BH47" s="55"/>
      <c r="BI47" s="508"/>
      <c r="BJ47" s="509"/>
      <c r="BK47" s="509"/>
      <c r="BL47" s="509"/>
      <c r="BM47" s="509"/>
      <c r="BN47" s="510"/>
      <c r="BO47" s="55"/>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c r="CO47" s="55"/>
      <c r="CP47" s="55"/>
      <c r="CQ47" s="55"/>
      <c r="CR47" s="55"/>
      <c r="CS47" s="55"/>
      <c r="CT47" s="55"/>
      <c r="CU47" s="55"/>
      <c r="CV47" s="55"/>
    </row>
    <row r="48" spans="1:100" ht="15" customHeight="1" x14ac:dyDescent="0.25">
      <c r="A48" s="55"/>
      <c r="B48" s="316"/>
      <c r="C48" s="316"/>
      <c r="D48" s="317"/>
      <c r="E48" s="534"/>
      <c r="F48" s="535"/>
      <c r="G48" s="535"/>
      <c r="H48" s="535"/>
      <c r="I48" s="535"/>
      <c r="J48" s="470" t="str">
        <f>IF(AND('Mapa final'!$K$19="Media",'Mapa final'!$O$19="Leve"),CONCATENATE("R",'Mapa final'!$A$19),"")</f>
        <v/>
      </c>
      <c r="K48" s="468"/>
      <c r="L48" s="468" t="str">
        <f>IF(AND('Mapa final'!$K$22="Media",'Mapa final'!$O$22="Leve"),CONCATENATE("R",'Mapa final'!$A$22),"")</f>
        <v/>
      </c>
      <c r="M48" s="468"/>
      <c r="N48" s="468" t="str">
        <f>IF(AND('Mapa final'!$K$25="Media",'Mapa final'!$O$25="Leve"),CONCATENATE("R",'Mapa final'!$A$25),"")</f>
        <v/>
      </c>
      <c r="O48" s="468"/>
      <c r="P48" s="468" t="str">
        <f>IF(AND('Mapa final'!$K$28="Media",'Mapa final'!$O$28="Leve"),CONCATENATE("R",'Mapa final'!$A$28),"")</f>
        <v/>
      </c>
      <c r="Q48" s="468"/>
      <c r="R48" s="468" t="str">
        <f>IF(AND('Mapa final'!$K$31="Media",'Mapa final'!$O$31="Leve"),CONCATENATE("R",'Mapa final'!$A$31),"")</f>
        <v/>
      </c>
      <c r="S48" s="469"/>
      <c r="T48" s="470" t="str">
        <f>IF(AND('Mapa final'!$K$19="Media",'Mapa final'!$O$19="Menor"),CONCATENATE("R",'Mapa final'!$A$19),"")</f>
        <v/>
      </c>
      <c r="U48" s="468"/>
      <c r="V48" s="468" t="str">
        <f>IF(AND('Mapa final'!$K$22="Media",'Mapa final'!$O$22="Menor"),CONCATENATE("R",'Mapa final'!$A$22),"")</f>
        <v/>
      </c>
      <c r="W48" s="468"/>
      <c r="X48" s="468" t="str">
        <f>IF(AND('Mapa final'!$K$25="Media",'Mapa final'!$O$25="Menor"),CONCATENATE("R",'Mapa final'!$A$25),"")</f>
        <v/>
      </c>
      <c r="Y48" s="468"/>
      <c r="Z48" s="468" t="str">
        <f>IF(AND('Mapa final'!$K$28="Media",'Mapa final'!$O$28="Menor"),CONCATENATE("R",'Mapa final'!$A$28),"")</f>
        <v/>
      </c>
      <c r="AA48" s="468"/>
      <c r="AB48" s="468" t="str">
        <f>IF(AND('Mapa final'!$K$31="Media",'Mapa final'!$O$31="Menor"),CONCATENATE("R",'Mapa final'!$A$31),"")</f>
        <v/>
      </c>
      <c r="AC48" s="469"/>
      <c r="AD48" s="470" t="str">
        <f>IF(AND('Mapa final'!$K$19="Media",'Mapa final'!$O$19="Moderado"),CONCATENATE("R",'Mapa final'!$A$19),"")</f>
        <v/>
      </c>
      <c r="AE48" s="468"/>
      <c r="AF48" s="468" t="str">
        <f>IF(AND('Mapa final'!$K$22="Media",'Mapa final'!$O$22="Moderado"),CONCATENATE("R",'Mapa final'!$A$22),"")</f>
        <v/>
      </c>
      <c r="AG48" s="468"/>
      <c r="AH48" s="468" t="str">
        <f>IF(AND('Mapa final'!$K$25="Media",'Mapa final'!$O$25="Moderado"),CONCATENATE("R",'Mapa final'!$A$25),"")</f>
        <v/>
      </c>
      <c r="AI48" s="468"/>
      <c r="AJ48" s="468" t="str">
        <f>IF(AND('Mapa final'!$K$28="Media",'Mapa final'!$O$28="Moderado"),CONCATENATE("R",'Mapa final'!$A$28),"")</f>
        <v/>
      </c>
      <c r="AK48" s="468"/>
      <c r="AL48" s="468" t="str">
        <f>IF(AND('Mapa final'!$K$31="Media",'Mapa final'!$O$31="Moderado"),CONCATENATE("R",'Mapa final'!$A$31),"")</f>
        <v/>
      </c>
      <c r="AM48" s="469"/>
      <c r="AN48" s="473" t="str">
        <f>IF(AND('Mapa final'!$K$19="Media",'Mapa final'!$O$19="Mayor"),CONCATENATE("R",'Mapa final'!$A$19),"")</f>
        <v/>
      </c>
      <c r="AO48" s="471"/>
      <c r="AP48" s="471" t="str">
        <f>IF(AND('Mapa final'!$K$22="Media",'Mapa final'!$O$22="Mayor"),CONCATENATE("R",'Mapa final'!$A$22),"")</f>
        <v/>
      </c>
      <c r="AQ48" s="471"/>
      <c r="AR48" s="471" t="str">
        <f>IF(AND('Mapa final'!$K$25="Media",'Mapa final'!$O$25="Mayor"),CONCATENATE("R",'Mapa final'!$A$25),"")</f>
        <v/>
      </c>
      <c r="AS48" s="471"/>
      <c r="AT48" s="471" t="str">
        <f>IF(AND('Mapa final'!$K$28="Media",'Mapa final'!$O$28="Mayor"),CONCATENATE("R",'Mapa final'!$A$28),"")</f>
        <v/>
      </c>
      <c r="AU48" s="471"/>
      <c r="AV48" s="471" t="str">
        <f>IF(AND('Mapa final'!$K$31="Media",'Mapa final'!$O$31="Mayor"),CONCATENATE("R",'Mapa final'!$A$31),"")</f>
        <v/>
      </c>
      <c r="AW48" s="472"/>
      <c r="AX48" s="467" t="str">
        <f>IF(AND('Mapa final'!$K$19="Media",'Mapa final'!$O$19="Catastrófico"),CONCATENATE("R",'Mapa final'!$A$19),"")</f>
        <v/>
      </c>
      <c r="AY48" s="465"/>
      <c r="AZ48" s="465" t="str">
        <f>IF(AND('Mapa final'!$K$22="Media",'Mapa final'!$O$22="Catastrófico"),CONCATENATE("R",'Mapa final'!$A$22),"")</f>
        <v/>
      </c>
      <c r="BA48" s="465"/>
      <c r="BB48" s="465" t="str">
        <f>IF(AND('Mapa final'!$K$25="Media",'Mapa final'!$O$25="Catastrófico"),CONCATENATE("R",'Mapa final'!$A$25),"")</f>
        <v/>
      </c>
      <c r="BC48" s="465"/>
      <c r="BD48" s="465" t="str">
        <f>IF(AND('Mapa final'!$K$28="Media",'Mapa final'!$O$28="Catastrófico"),CONCATENATE("R",'Mapa final'!$A$28),"")</f>
        <v/>
      </c>
      <c r="BE48" s="465"/>
      <c r="BF48" s="465" t="str">
        <f>IF(AND('Mapa final'!$K$31="Media",'Mapa final'!$O$31="Catastrófico"),CONCATENATE("R",'Mapa final'!$A$31),"")</f>
        <v/>
      </c>
      <c r="BG48" s="466"/>
      <c r="BH48" s="55"/>
      <c r="BI48" s="508"/>
      <c r="BJ48" s="509"/>
      <c r="BK48" s="509"/>
      <c r="BL48" s="509"/>
      <c r="BM48" s="509"/>
      <c r="BN48" s="510"/>
      <c r="BO48" s="55"/>
      <c r="BP48" s="55"/>
      <c r="BQ48" s="55"/>
      <c r="BR48" s="55"/>
      <c r="BS48" s="55"/>
      <c r="BT48" s="55"/>
      <c r="BU48" s="55"/>
      <c r="BV48" s="55"/>
      <c r="BW48" s="55"/>
      <c r="BX48" s="55"/>
      <c r="BY48" s="55"/>
      <c r="BZ48" s="55"/>
      <c r="CA48" s="55"/>
      <c r="CB48" s="55"/>
      <c r="CC48" s="55"/>
      <c r="CD48" s="55"/>
      <c r="CE48" s="55"/>
      <c r="CF48" s="55"/>
      <c r="CG48" s="55"/>
      <c r="CH48" s="55"/>
      <c r="CI48" s="55"/>
      <c r="CJ48" s="55"/>
      <c r="CK48" s="55"/>
      <c r="CL48" s="55"/>
      <c r="CM48" s="55"/>
      <c r="CN48" s="55"/>
      <c r="CO48" s="55"/>
      <c r="CP48" s="55"/>
      <c r="CQ48" s="55"/>
      <c r="CR48" s="55"/>
      <c r="CS48" s="55"/>
      <c r="CT48" s="55"/>
      <c r="CU48" s="55"/>
      <c r="CV48" s="55"/>
    </row>
    <row r="49" spans="1:100" ht="15" customHeight="1" x14ac:dyDescent="0.25">
      <c r="A49" s="55"/>
      <c r="B49" s="316"/>
      <c r="C49" s="316"/>
      <c r="D49" s="317"/>
      <c r="E49" s="534"/>
      <c r="F49" s="535"/>
      <c r="G49" s="535"/>
      <c r="H49" s="535"/>
      <c r="I49" s="535"/>
      <c r="J49" s="470"/>
      <c r="K49" s="468"/>
      <c r="L49" s="468"/>
      <c r="M49" s="468"/>
      <c r="N49" s="468"/>
      <c r="O49" s="468"/>
      <c r="P49" s="468"/>
      <c r="Q49" s="468"/>
      <c r="R49" s="468"/>
      <c r="S49" s="469"/>
      <c r="T49" s="470"/>
      <c r="U49" s="468"/>
      <c r="V49" s="468"/>
      <c r="W49" s="468"/>
      <c r="X49" s="468"/>
      <c r="Y49" s="468"/>
      <c r="Z49" s="468"/>
      <c r="AA49" s="468"/>
      <c r="AB49" s="468"/>
      <c r="AC49" s="469"/>
      <c r="AD49" s="470"/>
      <c r="AE49" s="468"/>
      <c r="AF49" s="468"/>
      <c r="AG49" s="468"/>
      <c r="AH49" s="468"/>
      <c r="AI49" s="468"/>
      <c r="AJ49" s="468"/>
      <c r="AK49" s="468"/>
      <c r="AL49" s="468"/>
      <c r="AM49" s="469"/>
      <c r="AN49" s="473"/>
      <c r="AO49" s="471"/>
      <c r="AP49" s="471"/>
      <c r="AQ49" s="471"/>
      <c r="AR49" s="471"/>
      <c r="AS49" s="471"/>
      <c r="AT49" s="471"/>
      <c r="AU49" s="471"/>
      <c r="AV49" s="471"/>
      <c r="AW49" s="472"/>
      <c r="AX49" s="467"/>
      <c r="AY49" s="465"/>
      <c r="AZ49" s="465"/>
      <c r="BA49" s="465"/>
      <c r="BB49" s="465"/>
      <c r="BC49" s="465"/>
      <c r="BD49" s="465"/>
      <c r="BE49" s="465"/>
      <c r="BF49" s="465"/>
      <c r="BG49" s="466"/>
      <c r="BH49" s="55"/>
      <c r="BI49" s="508"/>
      <c r="BJ49" s="509"/>
      <c r="BK49" s="509"/>
      <c r="BL49" s="509"/>
      <c r="BM49" s="509"/>
      <c r="BN49" s="510"/>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L49" s="55"/>
      <c r="CM49" s="55"/>
      <c r="CN49" s="55"/>
      <c r="CO49" s="55"/>
      <c r="CP49" s="55"/>
      <c r="CQ49" s="55"/>
      <c r="CR49" s="55"/>
      <c r="CS49" s="55"/>
      <c r="CT49" s="55"/>
      <c r="CU49" s="55"/>
      <c r="CV49" s="55"/>
    </row>
    <row r="50" spans="1:100" ht="15" customHeight="1" x14ac:dyDescent="0.25">
      <c r="A50" s="55"/>
      <c r="B50" s="316"/>
      <c r="C50" s="316"/>
      <c r="D50" s="317"/>
      <c r="E50" s="534"/>
      <c r="F50" s="535"/>
      <c r="G50" s="535"/>
      <c r="H50" s="535"/>
      <c r="I50" s="535"/>
      <c r="J50" s="470" t="str">
        <f>IF(AND('Mapa final'!$K$34="Media",'Mapa final'!$O$34="Leve"),CONCATENATE("R",'Mapa final'!$A$34),"")</f>
        <v/>
      </c>
      <c r="K50" s="468"/>
      <c r="L50" s="468" t="str">
        <f>IF(AND('Mapa final'!$K$37="Media",'Mapa final'!$O$37="Leve"),CONCATENATE("R",'Mapa final'!$A$37),"")</f>
        <v/>
      </c>
      <c r="M50" s="468"/>
      <c r="N50" s="468" t="str">
        <f>IF(AND('Mapa final'!$K$40="Media",'Mapa final'!$O$40="Leve"),CONCATENATE("R",'Mapa final'!$A$40),"")</f>
        <v/>
      </c>
      <c r="O50" s="468"/>
      <c r="P50" s="468" t="str">
        <f>IF(AND('Mapa final'!$K$43="Media",'Mapa final'!$O$43="Leve"),CONCATENATE("R",'Mapa final'!$A$43),"")</f>
        <v/>
      </c>
      <c r="Q50" s="468"/>
      <c r="R50" s="468" t="str">
        <f>IF(AND('Mapa final'!$K$46="Media",'Mapa final'!$O$46="Leve"),CONCATENATE("R",'Mapa final'!$A$46),"")</f>
        <v/>
      </c>
      <c r="S50" s="469"/>
      <c r="T50" s="470" t="str">
        <f>IF(AND('Mapa final'!$K$34="Media",'Mapa final'!$O$34="Menor"),CONCATENATE("R",'Mapa final'!$A$34),"")</f>
        <v/>
      </c>
      <c r="U50" s="468"/>
      <c r="V50" s="468" t="str">
        <f>IF(AND('Mapa final'!$K$37="Media",'Mapa final'!$O$37="Menor"),CONCATENATE("R",'Mapa final'!$A$37),"")</f>
        <v/>
      </c>
      <c r="W50" s="468"/>
      <c r="X50" s="468" t="str">
        <f>IF(AND('Mapa final'!$K$40="Media",'Mapa final'!$O$40="Menor"),CONCATENATE("R",'Mapa final'!$A$40),"")</f>
        <v/>
      </c>
      <c r="Y50" s="468"/>
      <c r="Z50" s="468" t="str">
        <f>IF(AND('Mapa final'!$K$43="Media",'Mapa final'!$O$43="Menor"),CONCATENATE("R",'Mapa final'!$A$43),"")</f>
        <v/>
      </c>
      <c r="AA50" s="468"/>
      <c r="AB50" s="468" t="str">
        <f>IF(AND('Mapa final'!$K$46="Media",'Mapa final'!$O$46="Menor"),CONCATENATE("R",'Mapa final'!$A$46),"")</f>
        <v/>
      </c>
      <c r="AC50" s="469"/>
      <c r="AD50" s="470" t="str">
        <f>IF(AND('Mapa final'!$K$34="Media",'Mapa final'!$O$34="Moderado"),CONCATENATE("R",'Mapa final'!$A$34),"")</f>
        <v/>
      </c>
      <c r="AE50" s="468"/>
      <c r="AF50" s="468" t="str">
        <f>IF(AND('Mapa final'!$K$37="Media",'Mapa final'!$O$37="Moderado"),CONCATENATE("R",'Mapa final'!$A$37),"")</f>
        <v/>
      </c>
      <c r="AG50" s="468"/>
      <c r="AH50" s="468" t="str">
        <f>IF(AND('Mapa final'!$K$40="Media",'Mapa final'!$O$40="Moderado"),CONCATENATE("R",'Mapa final'!$A$40),"")</f>
        <v/>
      </c>
      <c r="AI50" s="468"/>
      <c r="AJ50" s="468" t="str">
        <f>IF(AND('Mapa final'!$K$43="Media",'Mapa final'!$O$43="Moderado"),CONCATENATE("R",'Mapa final'!$A$43),"")</f>
        <v/>
      </c>
      <c r="AK50" s="468"/>
      <c r="AL50" s="468" t="str">
        <f>IF(AND('Mapa final'!$K$46="Media",'Mapa final'!$O$46="Moderado"),CONCATENATE("R",'Mapa final'!$A$46),"")</f>
        <v/>
      </c>
      <c r="AM50" s="469"/>
      <c r="AN50" s="473" t="str">
        <f>IF(AND('Mapa final'!$K$34="Media",'Mapa final'!$O$34="Mayor"),CONCATENATE("R",'Mapa final'!$A$34),"")</f>
        <v/>
      </c>
      <c r="AO50" s="471"/>
      <c r="AP50" s="471" t="str">
        <f>IF(AND('Mapa final'!$K$37="Media",'Mapa final'!$O$37="Mayor"),CONCATENATE("R",'Mapa final'!$A$37),"")</f>
        <v/>
      </c>
      <c r="AQ50" s="471"/>
      <c r="AR50" s="471" t="str">
        <f>IF(AND('Mapa final'!$K$40="Media",'Mapa final'!$O$40="Mayor"),CONCATENATE("R",'Mapa final'!$A$40),"")</f>
        <v/>
      </c>
      <c r="AS50" s="471"/>
      <c r="AT50" s="471" t="str">
        <f>IF(AND('Mapa final'!$K$43="Media",'Mapa final'!$O$43="Mayor"),CONCATENATE("R",'Mapa final'!$A$43),"")</f>
        <v/>
      </c>
      <c r="AU50" s="471"/>
      <c r="AV50" s="471" t="str">
        <f>IF(AND('Mapa final'!$K$46="Media",'Mapa final'!$O$46="Mayor"),CONCATENATE("R",'Mapa final'!$A$46),"")</f>
        <v/>
      </c>
      <c r="AW50" s="472"/>
      <c r="AX50" s="467" t="str">
        <f>IF(AND('Mapa final'!$K$34="Media",'Mapa final'!$O$34="Catastrófico"),CONCATENATE("R",'Mapa final'!$A$34),"")</f>
        <v/>
      </c>
      <c r="AY50" s="465"/>
      <c r="AZ50" s="465" t="str">
        <f>IF(AND('Mapa final'!$K$37="Media",'Mapa final'!$O$37="Catastrófico"),CONCATENATE("R",'Mapa final'!$A$37),"")</f>
        <v/>
      </c>
      <c r="BA50" s="465"/>
      <c r="BB50" s="465" t="str">
        <f>IF(AND('Mapa final'!$K$40="Media",'Mapa final'!$O$40="Catastrófico"),CONCATENATE("R",'Mapa final'!$A$40),"")</f>
        <v/>
      </c>
      <c r="BC50" s="465"/>
      <c r="BD50" s="465" t="str">
        <f>IF(AND('Mapa final'!$K$43="Media",'Mapa final'!$O$43="Catastrófico"),CONCATENATE("R",'Mapa final'!$A$43),"")</f>
        <v/>
      </c>
      <c r="BE50" s="465"/>
      <c r="BF50" s="465" t="str">
        <f>IF(AND('Mapa final'!$K$46="Media",'Mapa final'!$O$46="Catastrófico"),CONCATENATE("R",'Mapa final'!$A$46),"")</f>
        <v/>
      </c>
      <c r="BG50" s="466"/>
      <c r="BH50" s="55"/>
      <c r="BI50" s="508"/>
      <c r="BJ50" s="509"/>
      <c r="BK50" s="509"/>
      <c r="BL50" s="509"/>
      <c r="BM50" s="509"/>
      <c r="BN50" s="510"/>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L50" s="55"/>
      <c r="CM50" s="55"/>
      <c r="CN50" s="55"/>
      <c r="CO50" s="55"/>
      <c r="CP50" s="55"/>
      <c r="CQ50" s="55"/>
      <c r="CR50" s="55"/>
      <c r="CS50" s="55"/>
      <c r="CT50" s="55"/>
      <c r="CU50" s="55"/>
      <c r="CV50" s="55"/>
    </row>
    <row r="51" spans="1:100" ht="15" customHeight="1" x14ac:dyDescent="0.25">
      <c r="A51" s="55"/>
      <c r="B51" s="316"/>
      <c r="C51" s="316"/>
      <c r="D51" s="317"/>
      <c r="E51" s="534"/>
      <c r="F51" s="535"/>
      <c r="G51" s="535"/>
      <c r="H51" s="535"/>
      <c r="I51" s="535"/>
      <c r="J51" s="470"/>
      <c r="K51" s="468"/>
      <c r="L51" s="468"/>
      <c r="M51" s="468"/>
      <c r="N51" s="468"/>
      <c r="O51" s="468"/>
      <c r="P51" s="468"/>
      <c r="Q51" s="468"/>
      <c r="R51" s="468"/>
      <c r="S51" s="469"/>
      <c r="T51" s="470"/>
      <c r="U51" s="468"/>
      <c r="V51" s="468"/>
      <c r="W51" s="468"/>
      <c r="X51" s="468"/>
      <c r="Y51" s="468"/>
      <c r="Z51" s="468"/>
      <c r="AA51" s="468"/>
      <c r="AB51" s="468"/>
      <c r="AC51" s="469"/>
      <c r="AD51" s="470"/>
      <c r="AE51" s="468"/>
      <c r="AF51" s="468"/>
      <c r="AG51" s="468"/>
      <c r="AH51" s="468"/>
      <c r="AI51" s="468"/>
      <c r="AJ51" s="468"/>
      <c r="AK51" s="468"/>
      <c r="AL51" s="468"/>
      <c r="AM51" s="469"/>
      <c r="AN51" s="473"/>
      <c r="AO51" s="471"/>
      <c r="AP51" s="471"/>
      <c r="AQ51" s="471"/>
      <c r="AR51" s="471"/>
      <c r="AS51" s="471"/>
      <c r="AT51" s="471"/>
      <c r="AU51" s="471"/>
      <c r="AV51" s="471"/>
      <c r="AW51" s="472"/>
      <c r="AX51" s="467"/>
      <c r="AY51" s="465"/>
      <c r="AZ51" s="465"/>
      <c r="BA51" s="465"/>
      <c r="BB51" s="465"/>
      <c r="BC51" s="465"/>
      <c r="BD51" s="465"/>
      <c r="BE51" s="465"/>
      <c r="BF51" s="465"/>
      <c r="BG51" s="466"/>
      <c r="BH51" s="55"/>
      <c r="BI51" s="508"/>
      <c r="BJ51" s="509"/>
      <c r="BK51" s="509"/>
      <c r="BL51" s="509"/>
      <c r="BM51" s="509"/>
      <c r="BN51" s="510"/>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c r="CP51" s="55"/>
      <c r="CQ51" s="55"/>
      <c r="CR51" s="55"/>
      <c r="CS51" s="55"/>
      <c r="CT51" s="55"/>
      <c r="CU51" s="55"/>
      <c r="CV51" s="55"/>
    </row>
    <row r="52" spans="1:100" ht="15" customHeight="1" x14ac:dyDescent="0.25">
      <c r="A52" s="55"/>
      <c r="B52" s="316"/>
      <c r="C52" s="316"/>
      <c r="D52" s="317"/>
      <c r="E52" s="534"/>
      <c r="F52" s="535"/>
      <c r="G52" s="535"/>
      <c r="H52" s="535"/>
      <c r="I52" s="535"/>
      <c r="J52" s="470" t="str">
        <f>IF(AND('Mapa final'!$K$49="Media",'Mapa final'!$O$49="Leve"),CONCATENATE("R",'Mapa final'!$A$49),"")</f>
        <v/>
      </c>
      <c r="K52" s="468"/>
      <c r="L52" s="468" t="str">
        <f>IF(AND('Mapa final'!$K$52="Media",'Mapa final'!$O$52="Leve"),CONCATENATE("R",'Mapa final'!$A$52),"")</f>
        <v/>
      </c>
      <c r="M52" s="468"/>
      <c r="N52" s="468" t="str">
        <f>IF(AND('Mapa final'!$K$55="Media",'Mapa final'!$O$55="Leve"),CONCATENATE("R",'Mapa final'!$A$55),"")</f>
        <v/>
      </c>
      <c r="O52" s="468"/>
      <c r="P52" s="468" t="str">
        <f>IF(AND('Mapa final'!$K$58="Media",'Mapa final'!$O$58="Leve"),CONCATENATE("R",'Mapa final'!$A$58),"")</f>
        <v/>
      </c>
      <c r="Q52" s="468"/>
      <c r="R52" s="468" t="str">
        <f>IF(AND('Mapa final'!$K$61="Media",'Mapa final'!$O$61="Leve"),CONCATENATE("R",'Mapa final'!$A$61),"")</f>
        <v/>
      </c>
      <c r="S52" s="469"/>
      <c r="T52" s="470" t="str">
        <f>IF(AND('Mapa final'!$K$49="Media",'Mapa final'!$O$49="Menor"),CONCATENATE("R",'Mapa final'!$A$49),"")</f>
        <v/>
      </c>
      <c r="U52" s="468"/>
      <c r="V52" s="468" t="str">
        <f>IF(AND('Mapa final'!$K$52="Media",'Mapa final'!$O$52="Menor"),CONCATENATE("R",'Mapa final'!$A$52),"")</f>
        <v/>
      </c>
      <c r="W52" s="468"/>
      <c r="X52" s="468" t="str">
        <f>IF(AND('Mapa final'!$K$55="Media",'Mapa final'!$O$55="Menor"),CONCATENATE("R",'Mapa final'!$A$55),"")</f>
        <v/>
      </c>
      <c r="Y52" s="468"/>
      <c r="Z52" s="468" t="str">
        <f>IF(AND('Mapa final'!$K$58="Media",'Mapa final'!$O$58="Menor"),CONCATENATE("R",'Mapa final'!$A$58),"")</f>
        <v/>
      </c>
      <c r="AA52" s="468"/>
      <c r="AB52" s="468" t="str">
        <f>IF(AND('Mapa final'!$K$61="Media",'Mapa final'!$O$61="Menor"),CONCATENATE("R",'Mapa final'!$A$61),"")</f>
        <v/>
      </c>
      <c r="AC52" s="469"/>
      <c r="AD52" s="470" t="str">
        <f>IF(AND('Mapa final'!$K$49="Media",'Mapa final'!$O$49="Moderado"),CONCATENATE("R",'Mapa final'!$A$49),"")</f>
        <v>R15</v>
      </c>
      <c r="AE52" s="468"/>
      <c r="AF52" s="468" t="str">
        <f>IF(AND('Mapa final'!$K$52="Media",'Mapa final'!$O$52="Moderado"),CONCATENATE("R",'Mapa final'!$A$52),"")</f>
        <v/>
      </c>
      <c r="AG52" s="468"/>
      <c r="AH52" s="468" t="str">
        <f>IF(AND('Mapa final'!$K$55="Media",'Mapa final'!$O$55="Moderado"),CONCATENATE("R",'Mapa final'!$A$55),"")</f>
        <v>R17</v>
      </c>
      <c r="AI52" s="468"/>
      <c r="AJ52" s="468" t="str">
        <f>IF(AND('Mapa final'!$K$58="Media",'Mapa final'!$O$58="Moderado"),CONCATENATE("R",'Mapa final'!$A$58),"")</f>
        <v>R18</v>
      </c>
      <c r="AK52" s="468"/>
      <c r="AL52" s="468" t="str">
        <f>IF(AND('Mapa final'!$K$61="Media",'Mapa final'!$O$61="Moderado"),CONCATENATE("R",'Mapa final'!$A$61),"")</f>
        <v/>
      </c>
      <c r="AM52" s="469"/>
      <c r="AN52" s="473" t="str">
        <f>IF(AND('Mapa final'!$K$49="Media",'Mapa final'!$O$49="Mayor"),CONCATENATE("R",'Mapa final'!$A$49),"")</f>
        <v/>
      </c>
      <c r="AO52" s="471"/>
      <c r="AP52" s="471" t="str">
        <f>IF(AND('Mapa final'!$K$52="Media",'Mapa final'!$O$52="Mayor"),CONCATENATE("R",'Mapa final'!$A$52),"")</f>
        <v/>
      </c>
      <c r="AQ52" s="471"/>
      <c r="AR52" s="471" t="str">
        <f>IF(AND('Mapa final'!$K$55="Media",'Mapa final'!$O$55="Mayor"),CONCATENATE("R",'Mapa final'!$A$55),"")</f>
        <v/>
      </c>
      <c r="AS52" s="471"/>
      <c r="AT52" s="471" t="str">
        <f>IF(AND('Mapa final'!$K$58="Media",'Mapa final'!$O$58="Mayor"),CONCATENATE("R",'Mapa final'!$A$58),"")</f>
        <v/>
      </c>
      <c r="AU52" s="471"/>
      <c r="AV52" s="471" t="str">
        <f>IF(AND('Mapa final'!$K$61="Media",'Mapa final'!$O$61="Mayor"),CONCATENATE("R",'Mapa final'!$A$61),"")</f>
        <v>R19</v>
      </c>
      <c r="AW52" s="472"/>
      <c r="AX52" s="467" t="str">
        <f>IF(AND('Mapa final'!$K$49="Media",'Mapa final'!$O$49="Catastrófico"),CONCATENATE("R",'Mapa final'!$A$49),"")</f>
        <v/>
      </c>
      <c r="AY52" s="465"/>
      <c r="AZ52" s="465" t="str">
        <f>IF(AND('Mapa final'!$K$52="Media",'Mapa final'!$O$52="Catastrófico"),CONCATENATE("R",'Mapa final'!$A$52),"")</f>
        <v/>
      </c>
      <c r="BA52" s="465"/>
      <c r="BB52" s="465" t="str">
        <f>IF(AND('Mapa final'!$K$55="Media",'Mapa final'!$O$55="Catastrófico"),CONCATENATE("R",'Mapa final'!$A$55),"")</f>
        <v/>
      </c>
      <c r="BC52" s="465"/>
      <c r="BD52" s="465" t="str">
        <f>IF(AND('Mapa final'!$K$58="Media",'Mapa final'!$O$58="Catastrófico"),CONCATENATE("R",'Mapa final'!$A$58),"")</f>
        <v/>
      </c>
      <c r="BE52" s="465"/>
      <c r="BF52" s="465" t="str">
        <f>IF(AND('Mapa final'!$K$61="Media",'Mapa final'!$O$61="Catastrófico"),CONCATENATE("R",'Mapa final'!$A$61),"")</f>
        <v/>
      </c>
      <c r="BG52" s="466"/>
      <c r="BH52" s="55"/>
      <c r="BI52" s="508"/>
      <c r="BJ52" s="509"/>
      <c r="BK52" s="509"/>
      <c r="BL52" s="509"/>
      <c r="BM52" s="509"/>
      <c r="BN52" s="510"/>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L52" s="55"/>
      <c r="CM52" s="55"/>
      <c r="CN52" s="55"/>
      <c r="CO52" s="55"/>
      <c r="CP52" s="55"/>
      <c r="CQ52" s="55"/>
      <c r="CR52" s="55"/>
      <c r="CS52" s="55"/>
      <c r="CT52" s="55"/>
      <c r="CU52" s="55"/>
      <c r="CV52" s="55"/>
    </row>
    <row r="53" spans="1:100" ht="15" customHeight="1" thickBot="1" x14ac:dyDescent="0.3">
      <c r="A53" s="55"/>
      <c r="B53" s="316"/>
      <c r="C53" s="316"/>
      <c r="D53" s="317"/>
      <c r="E53" s="534"/>
      <c r="F53" s="535"/>
      <c r="G53" s="535"/>
      <c r="H53" s="535"/>
      <c r="I53" s="535"/>
      <c r="J53" s="470"/>
      <c r="K53" s="468"/>
      <c r="L53" s="468"/>
      <c r="M53" s="468"/>
      <c r="N53" s="468"/>
      <c r="O53" s="468"/>
      <c r="P53" s="468"/>
      <c r="Q53" s="468"/>
      <c r="R53" s="468"/>
      <c r="S53" s="469"/>
      <c r="T53" s="470"/>
      <c r="U53" s="468"/>
      <c r="V53" s="468"/>
      <c r="W53" s="468"/>
      <c r="X53" s="468"/>
      <c r="Y53" s="468"/>
      <c r="Z53" s="468"/>
      <c r="AA53" s="468"/>
      <c r="AB53" s="468"/>
      <c r="AC53" s="469"/>
      <c r="AD53" s="470"/>
      <c r="AE53" s="468"/>
      <c r="AF53" s="468"/>
      <c r="AG53" s="468"/>
      <c r="AH53" s="468"/>
      <c r="AI53" s="468"/>
      <c r="AJ53" s="468"/>
      <c r="AK53" s="468"/>
      <c r="AL53" s="468"/>
      <c r="AM53" s="469"/>
      <c r="AN53" s="473"/>
      <c r="AO53" s="471"/>
      <c r="AP53" s="471"/>
      <c r="AQ53" s="471"/>
      <c r="AR53" s="471"/>
      <c r="AS53" s="471"/>
      <c r="AT53" s="471"/>
      <c r="AU53" s="471"/>
      <c r="AV53" s="471"/>
      <c r="AW53" s="472"/>
      <c r="AX53" s="467"/>
      <c r="AY53" s="465"/>
      <c r="AZ53" s="465"/>
      <c r="BA53" s="465"/>
      <c r="BB53" s="465"/>
      <c r="BC53" s="465"/>
      <c r="BD53" s="465"/>
      <c r="BE53" s="465"/>
      <c r="BF53" s="465"/>
      <c r="BG53" s="466"/>
      <c r="BH53" s="55"/>
      <c r="BI53" s="511"/>
      <c r="BJ53" s="512"/>
      <c r="BK53" s="512"/>
      <c r="BL53" s="512"/>
      <c r="BM53" s="512"/>
      <c r="BN53" s="513"/>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c r="CP53" s="55"/>
      <c r="CQ53" s="55"/>
      <c r="CR53" s="55"/>
      <c r="CS53" s="55"/>
      <c r="CT53" s="55"/>
      <c r="CU53" s="55"/>
      <c r="CV53" s="55"/>
    </row>
    <row r="54" spans="1:100" ht="15" customHeight="1" x14ac:dyDescent="0.25">
      <c r="A54" s="55"/>
      <c r="B54" s="316"/>
      <c r="C54" s="316"/>
      <c r="D54" s="317"/>
      <c r="E54" s="534"/>
      <c r="F54" s="535"/>
      <c r="G54" s="535"/>
      <c r="H54" s="535"/>
      <c r="I54" s="535"/>
      <c r="J54" s="470" t="str">
        <f>IF(AND('Mapa final'!$K$64="Media",'Mapa final'!$O$64="Leve"),CONCATENATE("R",'Mapa final'!$A$64),"")</f>
        <v/>
      </c>
      <c r="K54" s="468"/>
      <c r="L54" s="468" t="str">
        <f>IF(AND('Mapa final'!$K$67="Media",'Mapa final'!$O$67="Leve"),CONCATENATE("R",'Mapa final'!$A$67),"")</f>
        <v/>
      </c>
      <c r="M54" s="468"/>
      <c r="N54" s="468" t="str">
        <f>IF(AND('Mapa final'!$K$73="Media",'Mapa final'!$O$73="Leve"),CONCATENATE("R",'Mapa final'!$A$73),"")</f>
        <v/>
      </c>
      <c r="O54" s="468"/>
      <c r="P54" s="468" t="str">
        <f>IF(AND('Mapa final'!$K$76="Media",'Mapa final'!$O$76="Leve"),CONCATENATE("R",'Mapa final'!$A$76),"")</f>
        <v/>
      </c>
      <c r="Q54" s="468"/>
      <c r="R54" s="468" t="str">
        <f>IF(AND('Mapa final'!$K$79="Media",'Mapa final'!$O$79="Leve"),CONCATENATE("R",'Mapa final'!$A$79),"")</f>
        <v/>
      </c>
      <c r="S54" s="469"/>
      <c r="T54" s="470" t="str">
        <f>IF(AND('Mapa final'!$K$64="Media",'Mapa final'!$O$64="Menor"),CONCATENATE("R",'Mapa final'!$A$64),"")</f>
        <v/>
      </c>
      <c r="U54" s="468"/>
      <c r="V54" s="468" t="str">
        <f>IF(AND('Mapa final'!$K$67="Media",'Mapa final'!$O$67="Menor"),CONCATENATE("R",'Mapa final'!$A$67),"")</f>
        <v/>
      </c>
      <c r="W54" s="468"/>
      <c r="X54" s="468" t="str">
        <f>IF(AND('Mapa final'!$K$73="Media",'Mapa final'!$O$73="Menor"),CONCATENATE("R",'Mapa final'!$A$73),"")</f>
        <v/>
      </c>
      <c r="Y54" s="468"/>
      <c r="Z54" s="468" t="str">
        <f>IF(AND('Mapa final'!$K$76="Media",'Mapa final'!$O$76="Menor"),CONCATENATE("R",'Mapa final'!$A$76),"")</f>
        <v/>
      </c>
      <c r="AA54" s="468"/>
      <c r="AB54" s="468" t="str">
        <f>IF(AND('Mapa final'!$K$79="Media",'Mapa final'!$O$79="Menor"),CONCATENATE("R",'Mapa final'!$A$79),"")</f>
        <v/>
      </c>
      <c r="AC54" s="469"/>
      <c r="AD54" s="470" t="str">
        <f>IF(AND('Mapa final'!$K$64="Media",'Mapa final'!$O$64="Moderado"),CONCATENATE("R",'Mapa final'!$A$64),"")</f>
        <v/>
      </c>
      <c r="AE54" s="468"/>
      <c r="AF54" s="468" t="str">
        <f>IF(AND('Mapa final'!$K$67="Media",'Mapa final'!$O$67="Moderado"),CONCATENATE("R",'Mapa final'!$A$67),"")</f>
        <v/>
      </c>
      <c r="AG54" s="468"/>
      <c r="AH54" s="468" t="str">
        <f>IF(AND('Mapa final'!$K$73="Media",'Mapa final'!$O$73="Moderado"),CONCATENATE("R",'Mapa final'!$A$73),"")</f>
        <v/>
      </c>
      <c r="AI54" s="468"/>
      <c r="AJ54" s="468" t="str">
        <f>IF(AND('Mapa final'!$K$76="Media",'Mapa final'!$O$76="Moderado"),CONCATENATE("R",'Mapa final'!$A$76),"")</f>
        <v/>
      </c>
      <c r="AK54" s="468"/>
      <c r="AL54" s="468" t="str">
        <f>IF(AND('Mapa final'!$K$79="Media",'Mapa final'!$O$79="Moderado"),CONCATENATE("R",'Mapa final'!$A$79),"")</f>
        <v/>
      </c>
      <c r="AM54" s="469"/>
      <c r="AN54" s="473" t="str">
        <f>IF(AND('Mapa final'!$K$64="Media",'Mapa final'!$O$64="Mayor"),CONCATENATE("R",'Mapa final'!$A$64),"")</f>
        <v/>
      </c>
      <c r="AO54" s="471"/>
      <c r="AP54" s="471" t="str">
        <f>IF(AND('Mapa final'!$K$67="Media",'Mapa final'!$O$67="Mayor"),CONCATENATE("R",'Mapa final'!$A$67),"")</f>
        <v/>
      </c>
      <c r="AQ54" s="471"/>
      <c r="AR54" s="471" t="str">
        <f>IF(AND('Mapa final'!$K$73="Media",'Mapa final'!$O$73="Mayor"),CONCATENATE("R",'Mapa final'!$A$73),"")</f>
        <v>R23</v>
      </c>
      <c r="AS54" s="471"/>
      <c r="AT54" s="471" t="str">
        <f>IF(AND('Mapa final'!$K$76="Media",'Mapa final'!$O$76="Mayor"),CONCATENATE("R",'Mapa final'!$A$76),"")</f>
        <v/>
      </c>
      <c r="AU54" s="471"/>
      <c r="AV54" s="471" t="str">
        <f>IF(AND('Mapa final'!$K$79="Media",'Mapa final'!$O$79="Mayor"),CONCATENATE("R",'Mapa final'!$A$79),"")</f>
        <v/>
      </c>
      <c r="AW54" s="472"/>
      <c r="AX54" s="467" t="str">
        <f>IF(AND('Mapa final'!$K$64="Media",'Mapa final'!$O$64="Catastrófico"),CONCATENATE("R",'Mapa final'!$A$64),"")</f>
        <v/>
      </c>
      <c r="AY54" s="465"/>
      <c r="AZ54" s="465" t="str">
        <f>IF(AND('Mapa final'!$K$67="Media",'Mapa final'!$O$67="Catastrófico"),CONCATENATE("R",'Mapa final'!$A$67),"")</f>
        <v/>
      </c>
      <c r="BA54" s="465"/>
      <c r="BB54" s="465" t="str">
        <f>IF(AND('Mapa final'!$K$73="Media",'Mapa final'!$O$73="Catastrófico"),CONCATENATE("R",'Mapa final'!$A$73),"")</f>
        <v/>
      </c>
      <c r="BC54" s="465"/>
      <c r="BD54" s="465" t="str">
        <f>IF(AND('Mapa final'!$K$76="Media",'Mapa final'!$O$76="Catastrófico"),CONCATENATE("R",'Mapa final'!$A$76),"")</f>
        <v/>
      </c>
      <c r="BE54" s="465"/>
      <c r="BF54" s="465" t="str">
        <f>IF(AND('Mapa final'!$K$79="Media",'Mapa final'!$O$79="Catastrófico"),CONCATENATE("R",'Mapa final'!$A$79),"")</f>
        <v/>
      </c>
      <c r="BG54" s="466"/>
      <c r="BH54" s="55"/>
      <c r="BI54" s="514" t="s">
        <v>75</v>
      </c>
      <c r="BJ54" s="515"/>
      <c r="BK54" s="515"/>
      <c r="BL54" s="515"/>
      <c r="BM54" s="515"/>
      <c r="BN54" s="516"/>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c r="CP54" s="55"/>
      <c r="CQ54" s="55"/>
      <c r="CR54" s="55"/>
      <c r="CS54" s="55"/>
      <c r="CT54" s="55"/>
      <c r="CU54" s="55"/>
      <c r="CV54" s="55"/>
    </row>
    <row r="55" spans="1:100" ht="15" customHeight="1" x14ac:dyDescent="0.25">
      <c r="A55" s="55"/>
      <c r="B55" s="316"/>
      <c r="C55" s="316"/>
      <c r="D55" s="317"/>
      <c r="E55" s="534"/>
      <c r="F55" s="535"/>
      <c r="G55" s="535"/>
      <c r="H55" s="535"/>
      <c r="I55" s="535"/>
      <c r="J55" s="470"/>
      <c r="K55" s="468"/>
      <c r="L55" s="468"/>
      <c r="M55" s="468"/>
      <c r="N55" s="468"/>
      <c r="O55" s="468"/>
      <c r="P55" s="468"/>
      <c r="Q55" s="468"/>
      <c r="R55" s="468"/>
      <c r="S55" s="469"/>
      <c r="T55" s="470"/>
      <c r="U55" s="468"/>
      <c r="V55" s="468"/>
      <c r="W55" s="468"/>
      <c r="X55" s="468"/>
      <c r="Y55" s="468"/>
      <c r="Z55" s="468"/>
      <c r="AA55" s="468"/>
      <c r="AB55" s="468"/>
      <c r="AC55" s="469"/>
      <c r="AD55" s="470"/>
      <c r="AE55" s="468"/>
      <c r="AF55" s="468"/>
      <c r="AG55" s="468"/>
      <c r="AH55" s="468"/>
      <c r="AI55" s="468"/>
      <c r="AJ55" s="468"/>
      <c r="AK55" s="468"/>
      <c r="AL55" s="468"/>
      <c r="AM55" s="469"/>
      <c r="AN55" s="473"/>
      <c r="AO55" s="471"/>
      <c r="AP55" s="471"/>
      <c r="AQ55" s="471"/>
      <c r="AR55" s="471"/>
      <c r="AS55" s="471"/>
      <c r="AT55" s="471"/>
      <c r="AU55" s="471"/>
      <c r="AV55" s="471"/>
      <c r="AW55" s="472"/>
      <c r="AX55" s="467"/>
      <c r="AY55" s="465"/>
      <c r="AZ55" s="465"/>
      <c r="BA55" s="465"/>
      <c r="BB55" s="465"/>
      <c r="BC55" s="465"/>
      <c r="BD55" s="465"/>
      <c r="BE55" s="465"/>
      <c r="BF55" s="465"/>
      <c r="BG55" s="466"/>
      <c r="BH55" s="55"/>
      <c r="BI55" s="517"/>
      <c r="BJ55" s="518"/>
      <c r="BK55" s="518"/>
      <c r="BL55" s="518"/>
      <c r="BM55" s="518"/>
      <c r="BN55" s="519"/>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c r="CP55" s="55"/>
      <c r="CQ55" s="55"/>
      <c r="CR55" s="55"/>
      <c r="CS55" s="55"/>
      <c r="CT55" s="55"/>
      <c r="CU55" s="55"/>
      <c r="CV55" s="55"/>
    </row>
    <row r="56" spans="1:100" ht="15" customHeight="1" x14ac:dyDescent="0.25">
      <c r="A56" s="55"/>
      <c r="B56" s="316"/>
      <c r="C56" s="316"/>
      <c r="D56" s="317"/>
      <c r="E56" s="534"/>
      <c r="F56" s="535"/>
      <c r="G56" s="535"/>
      <c r="H56" s="535"/>
      <c r="I56" s="535"/>
      <c r="J56" s="470" t="str">
        <f>IF(AND('Mapa final'!$K$82="Media",'Mapa final'!$O$82="Leve"),CONCATENATE("R",'Mapa final'!$A$82),"")</f>
        <v/>
      </c>
      <c r="K56" s="468"/>
      <c r="L56" s="468" t="str">
        <f>IF(AND('Mapa final'!$K$85="Media",'Mapa final'!$O$85="Leve"),CONCATENATE("R",'Mapa final'!$A$85),"")</f>
        <v/>
      </c>
      <c r="M56" s="468"/>
      <c r="N56" s="468" t="str">
        <f>IF(AND('Mapa final'!$K$88="Media",'Mapa final'!$O$88="Leve"),CONCATENATE("R",'Mapa final'!$A$88),"")</f>
        <v/>
      </c>
      <c r="O56" s="468"/>
      <c r="P56" s="468" t="str">
        <f>IF(AND('Mapa final'!$K$91="Media",'Mapa final'!$O$91="Leve"),CONCATENATE("R",'Mapa final'!$A$91),"")</f>
        <v/>
      </c>
      <c r="Q56" s="468"/>
      <c r="R56" s="468" t="str">
        <f>IF(AND('Mapa final'!$K$94="Media",'Mapa final'!$O$94="Leve"),CONCATENATE("R",'Mapa final'!$A$94),"")</f>
        <v/>
      </c>
      <c r="S56" s="469"/>
      <c r="T56" s="470" t="str">
        <f>IF(AND('Mapa final'!$K$82="Media",'Mapa final'!$O$82="Menor"),CONCATENATE("R",'Mapa final'!$A$82),"")</f>
        <v/>
      </c>
      <c r="U56" s="468"/>
      <c r="V56" s="468" t="str">
        <f>IF(AND('Mapa final'!$K$85="Media",'Mapa final'!$O$85="Menor"),CONCATENATE("R",'Mapa final'!$A$85),"")</f>
        <v/>
      </c>
      <c r="W56" s="468"/>
      <c r="X56" s="468" t="str">
        <f>IF(AND('Mapa final'!$K$88="Media",'Mapa final'!$O$88="Menor"),CONCATENATE("R",'Mapa final'!$A$88),"")</f>
        <v/>
      </c>
      <c r="Y56" s="468"/>
      <c r="Z56" s="468" t="str">
        <f>IF(AND('Mapa final'!$K$91="Media",'Mapa final'!$O$91="Menor"),CONCATENATE("R",'Mapa final'!$A$91),"")</f>
        <v/>
      </c>
      <c r="AA56" s="468"/>
      <c r="AB56" s="468" t="str">
        <f>IF(AND('Mapa final'!$K$94="Media",'Mapa final'!$O$94="Menor"),CONCATENATE("R",'Mapa final'!$A$94),"")</f>
        <v/>
      </c>
      <c r="AC56" s="469"/>
      <c r="AD56" s="470" t="str">
        <f>IF(AND('Mapa final'!$K$82="Media",'Mapa final'!$O$82="Moderado"),CONCATENATE("R",'Mapa final'!$A$82),"")</f>
        <v/>
      </c>
      <c r="AE56" s="468"/>
      <c r="AF56" s="468" t="str">
        <f>IF(AND('Mapa final'!$K$85="Media",'Mapa final'!$O$85="Moderado"),CONCATENATE("R",'Mapa final'!$A$85),"")</f>
        <v/>
      </c>
      <c r="AG56" s="468"/>
      <c r="AH56" s="468" t="str">
        <f>IF(AND('Mapa final'!$K$88="Media",'Mapa final'!$O$88="Moderado"),CONCATENATE("R",'Mapa final'!$A$88),"")</f>
        <v/>
      </c>
      <c r="AI56" s="468"/>
      <c r="AJ56" s="468" t="str">
        <f>IF(AND('Mapa final'!$K$91="Media",'Mapa final'!$O$91="Moderado"),CONCATENATE("R",'Mapa final'!$A$91),"")</f>
        <v/>
      </c>
      <c r="AK56" s="468"/>
      <c r="AL56" s="468" t="str">
        <f>IF(AND('Mapa final'!$K$94="Media",'Mapa final'!$O$94="Moderado"),CONCATENATE("R",'Mapa final'!$A$94),"")</f>
        <v/>
      </c>
      <c r="AM56" s="469"/>
      <c r="AN56" s="473" t="str">
        <f>IF(AND('Mapa final'!$K$82="Media",'Mapa final'!$O$82="Mayor"),CONCATENATE("R",'Mapa final'!$A$82),"")</f>
        <v/>
      </c>
      <c r="AO56" s="471"/>
      <c r="AP56" s="471" t="str">
        <f>IF(AND('Mapa final'!$K$85="Media",'Mapa final'!$O$85="Mayor"),CONCATENATE("R",'Mapa final'!$A$85),"")</f>
        <v/>
      </c>
      <c r="AQ56" s="471"/>
      <c r="AR56" s="471" t="str">
        <f>IF(AND('Mapa final'!$K$88="Media",'Mapa final'!$O$88="Mayor"),CONCATENATE("R",'Mapa final'!$A$88),"")</f>
        <v>R28</v>
      </c>
      <c r="AS56" s="471"/>
      <c r="AT56" s="471" t="str">
        <f>IF(AND('Mapa final'!$K$91="Media",'Mapa final'!$O$91="Mayor"),CONCATENATE("R",'Mapa final'!$A$91),"")</f>
        <v>R29</v>
      </c>
      <c r="AU56" s="471"/>
      <c r="AV56" s="471" t="str">
        <f>IF(AND('Mapa final'!$K$94="Media",'Mapa final'!$O$94="Mayor"),CONCATENATE("R",'Mapa final'!$A$94),"")</f>
        <v/>
      </c>
      <c r="AW56" s="472"/>
      <c r="AX56" s="467" t="str">
        <f>IF(AND('Mapa final'!$K$82="Media",'Mapa final'!$O$82="Catastrófico"),CONCATENATE("R",'Mapa final'!$A$82),"")</f>
        <v/>
      </c>
      <c r="AY56" s="465"/>
      <c r="AZ56" s="465" t="str">
        <f>IF(AND('Mapa final'!$K$85="Media",'Mapa final'!$O$85="Catastrófico"),CONCATENATE("R",'Mapa final'!$A$85),"")</f>
        <v/>
      </c>
      <c r="BA56" s="465"/>
      <c r="BB56" s="465" t="str">
        <f>IF(AND('Mapa final'!$K$88="Media",'Mapa final'!$O$88="Catastrófico"),CONCATENATE("R",'Mapa final'!$A$88),"")</f>
        <v/>
      </c>
      <c r="BC56" s="465"/>
      <c r="BD56" s="465" t="str">
        <f>IF(AND('Mapa final'!$K$91="Media",'Mapa final'!$O$91="Catastrófico"),CONCATENATE("R",'Mapa final'!$A$91),"")</f>
        <v/>
      </c>
      <c r="BE56" s="465"/>
      <c r="BF56" s="465" t="str">
        <f>IF(AND('Mapa final'!$K$94="Media",'Mapa final'!$O$94="Catastrófico"),CONCATENATE("R",'Mapa final'!$A$94),"")</f>
        <v/>
      </c>
      <c r="BG56" s="466"/>
      <c r="BH56" s="55"/>
      <c r="BI56" s="517"/>
      <c r="BJ56" s="518"/>
      <c r="BK56" s="518"/>
      <c r="BL56" s="518"/>
      <c r="BM56" s="518"/>
      <c r="BN56" s="519"/>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c r="CP56" s="55"/>
      <c r="CQ56" s="55"/>
      <c r="CR56" s="55"/>
      <c r="CS56" s="55"/>
      <c r="CT56" s="55"/>
      <c r="CU56" s="55"/>
      <c r="CV56" s="55"/>
    </row>
    <row r="57" spans="1:100" ht="15" customHeight="1" x14ac:dyDescent="0.25">
      <c r="A57" s="55"/>
      <c r="B57" s="316"/>
      <c r="C57" s="316"/>
      <c r="D57" s="317"/>
      <c r="E57" s="534"/>
      <c r="F57" s="535"/>
      <c r="G57" s="535"/>
      <c r="H57" s="535"/>
      <c r="I57" s="535"/>
      <c r="J57" s="470"/>
      <c r="K57" s="468"/>
      <c r="L57" s="468"/>
      <c r="M57" s="468"/>
      <c r="N57" s="468"/>
      <c r="O57" s="468"/>
      <c r="P57" s="468"/>
      <c r="Q57" s="468"/>
      <c r="R57" s="468"/>
      <c r="S57" s="469"/>
      <c r="T57" s="470"/>
      <c r="U57" s="468"/>
      <c r="V57" s="468"/>
      <c r="W57" s="468"/>
      <c r="X57" s="468"/>
      <c r="Y57" s="468"/>
      <c r="Z57" s="468"/>
      <c r="AA57" s="468"/>
      <c r="AB57" s="468"/>
      <c r="AC57" s="469"/>
      <c r="AD57" s="470"/>
      <c r="AE57" s="468"/>
      <c r="AF57" s="468"/>
      <c r="AG57" s="468"/>
      <c r="AH57" s="468"/>
      <c r="AI57" s="468"/>
      <c r="AJ57" s="468"/>
      <c r="AK57" s="468"/>
      <c r="AL57" s="468"/>
      <c r="AM57" s="469"/>
      <c r="AN57" s="473"/>
      <c r="AO57" s="471"/>
      <c r="AP57" s="471"/>
      <c r="AQ57" s="471"/>
      <c r="AR57" s="471"/>
      <c r="AS57" s="471"/>
      <c r="AT57" s="471"/>
      <c r="AU57" s="471"/>
      <c r="AV57" s="471"/>
      <c r="AW57" s="472"/>
      <c r="AX57" s="467"/>
      <c r="AY57" s="465"/>
      <c r="AZ57" s="465"/>
      <c r="BA57" s="465"/>
      <c r="BB57" s="465"/>
      <c r="BC57" s="465"/>
      <c r="BD57" s="465"/>
      <c r="BE57" s="465"/>
      <c r="BF57" s="465"/>
      <c r="BG57" s="466"/>
      <c r="BH57" s="55"/>
      <c r="BI57" s="517"/>
      <c r="BJ57" s="518"/>
      <c r="BK57" s="518"/>
      <c r="BL57" s="518"/>
      <c r="BM57" s="518"/>
      <c r="BN57" s="519"/>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c r="CP57" s="55"/>
      <c r="CQ57" s="55"/>
      <c r="CR57" s="55"/>
      <c r="CS57" s="55"/>
      <c r="CT57" s="55"/>
      <c r="CU57" s="55"/>
      <c r="CV57" s="55"/>
    </row>
    <row r="58" spans="1:100" ht="15" customHeight="1" x14ac:dyDescent="0.25">
      <c r="A58" s="55"/>
      <c r="B58" s="316"/>
      <c r="C58" s="316"/>
      <c r="D58" s="317"/>
      <c r="E58" s="534"/>
      <c r="F58" s="535"/>
      <c r="G58" s="535"/>
      <c r="H58" s="535"/>
      <c r="I58" s="535"/>
      <c r="J58" s="470" t="str">
        <f>IF(AND('Mapa final'!$K$97="Media",'Mapa final'!$O$97="Leve"),CONCATENATE("R",'Mapa final'!$A$97),"")</f>
        <v/>
      </c>
      <c r="K58" s="468"/>
      <c r="L58" s="468" t="e">
        <f>IF(AND('Mapa final'!#REF!="Media",'Mapa final'!#REF!="Leve"),CONCATENATE("R",'Mapa final'!#REF!),"")</f>
        <v>#REF!</v>
      </c>
      <c r="M58" s="468"/>
      <c r="N58" s="468" t="str">
        <f>IF(AND('Mapa final'!$K$100="Media",'Mapa final'!$O$100="Leve"),CONCATENATE("R",'Mapa final'!$A$100),"")</f>
        <v/>
      </c>
      <c r="O58" s="468"/>
      <c r="P58" s="468" t="str">
        <f>IF(AND('Mapa final'!$K$103="Media",'Mapa final'!$O$103="Leve"),CONCATENATE("R",'Mapa final'!$A$103),"")</f>
        <v/>
      </c>
      <c r="Q58" s="468"/>
      <c r="R58" s="468" t="str">
        <f>IF(AND('Mapa final'!$K$106="Media",'Mapa final'!$O$106="Leve"),CONCATENATE("R",'Mapa final'!$A$106),"")</f>
        <v/>
      </c>
      <c r="S58" s="469"/>
      <c r="T58" s="470" t="str">
        <f>IF(AND('Mapa final'!$K$97="Media",'Mapa final'!$O$97="Menor"),CONCATENATE("R",'Mapa final'!$A$97),"")</f>
        <v/>
      </c>
      <c r="U58" s="468"/>
      <c r="V58" s="468" t="e">
        <f>IF(AND('Mapa final'!#REF!="Media",'Mapa final'!#REF!="Menor"),CONCATENATE("R",'Mapa final'!#REF!),"")</f>
        <v>#REF!</v>
      </c>
      <c r="W58" s="468"/>
      <c r="X58" s="468" t="str">
        <f>IF(AND('Mapa final'!$K$100="Media",'Mapa final'!$O$100="Menor"),CONCATENATE("R",'Mapa final'!$A$100),"")</f>
        <v/>
      </c>
      <c r="Y58" s="468"/>
      <c r="Z58" s="468" t="str">
        <f>IF(AND('Mapa final'!$K$103="Media",'Mapa final'!$O$103="Menor"),CONCATENATE("R",'Mapa final'!$A$103),"")</f>
        <v/>
      </c>
      <c r="AA58" s="468"/>
      <c r="AB58" s="468" t="str">
        <f>IF(AND('Mapa final'!$K$106="Media",'Mapa final'!$O$106="Menor"),CONCATENATE("R",'Mapa final'!$A$106),"")</f>
        <v/>
      </c>
      <c r="AC58" s="469"/>
      <c r="AD58" s="470" t="str">
        <f>IF(AND('Mapa final'!$K$97="Media",'Mapa final'!$O$97="Moderado"),CONCATENATE("R",'Mapa final'!$A$97),"")</f>
        <v/>
      </c>
      <c r="AE58" s="468"/>
      <c r="AF58" s="468" t="e">
        <f>IF(AND('Mapa final'!#REF!="Media",'Mapa final'!#REF!="Moderado"),CONCATENATE("R",'Mapa final'!#REF!),"")</f>
        <v>#REF!</v>
      </c>
      <c r="AG58" s="468"/>
      <c r="AH58" s="468" t="str">
        <f>IF(AND('Mapa final'!$K$100="Media",'Mapa final'!$O$100="Moderado"),CONCATENATE("R",'Mapa final'!$A$100),"")</f>
        <v/>
      </c>
      <c r="AI58" s="468"/>
      <c r="AJ58" s="468" t="str">
        <f>IF(AND('Mapa final'!$K$103="Media",'Mapa final'!$O$103="Moderado"),CONCATENATE("R",'Mapa final'!$A$103),"")</f>
        <v>R33</v>
      </c>
      <c r="AK58" s="468"/>
      <c r="AL58" s="468" t="str">
        <f>IF(AND('Mapa final'!$K$106="Media",'Mapa final'!$O$106="Moderado"),CONCATENATE("R",'Mapa final'!$A$106),"")</f>
        <v>R34</v>
      </c>
      <c r="AM58" s="469"/>
      <c r="AN58" s="473" t="str">
        <f>IF(AND('Mapa final'!$K$97="Media",'Mapa final'!$O$97="Mayor"),CONCATENATE("R",'Mapa final'!$A$97),"")</f>
        <v/>
      </c>
      <c r="AO58" s="471"/>
      <c r="AP58" s="471" t="e">
        <f>IF(AND('Mapa final'!#REF!="Media",'Mapa final'!#REF!="Mayor"),CONCATENATE("R",'Mapa final'!#REF!),"")</f>
        <v>#REF!</v>
      </c>
      <c r="AQ58" s="471"/>
      <c r="AR58" s="471" t="str">
        <f>IF(AND('Mapa final'!$K$100="Media",'Mapa final'!$O$100="Mayor"),CONCATENATE("R",'Mapa final'!$A$100),"")</f>
        <v/>
      </c>
      <c r="AS58" s="471"/>
      <c r="AT58" s="471" t="str">
        <f>IF(AND('Mapa final'!$K$103="Media",'Mapa final'!$O$103="Mayor"),CONCATENATE("R",'Mapa final'!$A$103),"")</f>
        <v/>
      </c>
      <c r="AU58" s="471"/>
      <c r="AV58" s="471" t="str">
        <f>IF(AND('Mapa final'!$K$106="Media",'Mapa final'!$O$106="Mayor"),CONCATENATE("R",'Mapa final'!$A$106),"")</f>
        <v/>
      </c>
      <c r="AW58" s="472"/>
      <c r="AX58" s="467" t="str">
        <f>IF(AND('Mapa final'!$K$97="Media",'Mapa final'!$O$97="Catastrófico"),CONCATENATE("R",'Mapa final'!$A$97),"")</f>
        <v/>
      </c>
      <c r="AY58" s="465"/>
      <c r="AZ58" s="465" t="e">
        <f>IF(AND('Mapa final'!#REF!="Media",'Mapa final'!#REF!="Catastrófico"),CONCATENATE("R",'Mapa final'!#REF!),"")</f>
        <v>#REF!</v>
      </c>
      <c r="BA58" s="465"/>
      <c r="BB58" s="465" t="str">
        <f>IF(AND('Mapa final'!$K$100="Media",'Mapa final'!$O$100="Catastrófico"),CONCATENATE("R",'Mapa final'!$A$100),"")</f>
        <v/>
      </c>
      <c r="BC58" s="465"/>
      <c r="BD58" s="465" t="str">
        <f>IF(AND('Mapa final'!$K$103="Media",'Mapa final'!$O$103="Catastrófico"),CONCATENATE("R",'Mapa final'!$A$103),"")</f>
        <v/>
      </c>
      <c r="BE58" s="465"/>
      <c r="BF58" s="465" t="str">
        <f>IF(AND('Mapa final'!$K$106="Media",'Mapa final'!$O$106="Catastrófico"),CONCATENATE("R",'Mapa final'!$A$106),"")</f>
        <v/>
      </c>
      <c r="BG58" s="466"/>
      <c r="BH58" s="55"/>
      <c r="BI58" s="517"/>
      <c r="BJ58" s="518"/>
      <c r="BK58" s="518"/>
      <c r="BL58" s="518"/>
      <c r="BM58" s="518"/>
      <c r="BN58" s="519"/>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c r="CP58" s="55"/>
      <c r="CQ58" s="55"/>
      <c r="CR58" s="55"/>
      <c r="CS58" s="55"/>
      <c r="CT58" s="55"/>
      <c r="CU58" s="55"/>
      <c r="CV58" s="55"/>
    </row>
    <row r="59" spans="1:100" ht="15" customHeight="1" x14ac:dyDescent="0.25">
      <c r="A59" s="55"/>
      <c r="B59" s="316"/>
      <c r="C59" s="316"/>
      <c r="D59" s="317"/>
      <c r="E59" s="534"/>
      <c r="F59" s="535"/>
      <c r="G59" s="535"/>
      <c r="H59" s="535"/>
      <c r="I59" s="535"/>
      <c r="J59" s="470"/>
      <c r="K59" s="468"/>
      <c r="L59" s="468"/>
      <c r="M59" s="468"/>
      <c r="N59" s="468"/>
      <c r="O59" s="468"/>
      <c r="P59" s="468"/>
      <c r="Q59" s="468"/>
      <c r="R59" s="468"/>
      <c r="S59" s="469"/>
      <c r="T59" s="470"/>
      <c r="U59" s="468"/>
      <c r="V59" s="468"/>
      <c r="W59" s="468"/>
      <c r="X59" s="468"/>
      <c r="Y59" s="468"/>
      <c r="Z59" s="468"/>
      <c r="AA59" s="468"/>
      <c r="AB59" s="468"/>
      <c r="AC59" s="469"/>
      <c r="AD59" s="470"/>
      <c r="AE59" s="468"/>
      <c r="AF59" s="468"/>
      <c r="AG59" s="468"/>
      <c r="AH59" s="468"/>
      <c r="AI59" s="468"/>
      <c r="AJ59" s="468"/>
      <c r="AK59" s="468"/>
      <c r="AL59" s="468"/>
      <c r="AM59" s="469"/>
      <c r="AN59" s="473"/>
      <c r="AO59" s="471"/>
      <c r="AP59" s="471"/>
      <c r="AQ59" s="471"/>
      <c r="AR59" s="471"/>
      <c r="AS59" s="471"/>
      <c r="AT59" s="471"/>
      <c r="AU59" s="471"/>
      <c r="AV59" s="471"/>
      <c r="AW59" s="472"/>
      <c r="AX59" s="467"/>
      <c r="AY59" s="465"/>
      <c r="AZ59" s="465"/>
      <c r="BA59" s="465"/>
      <c r="BB59" s="465"/>
      <c r="BC59" s="465"/>
      <c r="BD59" s="465"/>
      <c r="BE59" s="465"/>
      <c r="BF59" s="465"/>
      <c r="BG59" s="466"/>
      <c r="BH59" s="55"/>
      <c r="BI59" s="517"/>
      <c r="BJ59" s="518"/>
      <c r="BK59" s="518"/>
      <c r="BL59" s="518"/>
      <c r="BM59" s="518"/>
      <c r="BN59" s="519"/>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c r="CP59" s="55"/>
      <c r="CQ59" s="55"/>
      <c r="CR59" s="55"/>
      <c r="CS59" s="55"/>
      <c r="CT59" s="55"/>
      <c r="CU59" s="55"/>
      <c r="CV59" s="55"/>
    </row>
    <row r="60" spans="1:100" ht="15" customHeight="1" x14ac:dyDescent="0.25">
      <c r="A60" s="55"/>
      <c r="B60" s="316"/>
      <c r="C60" s="316"/>
      <c r="D60" s="317"/>
      <c r="E60" s="534"/>
      <c r="F60" s="535"/>
      <c r="G60" s="535"/>
      <c r="H60" s="535"/>
      <c r="I60" s="535"/>
      <c r="J60" s="470" t="str">
        <f>IF(AND('Mapa final'!$K$109="Media",'Mapa final'!$O$109="Leve"),CONCATENATE("R",'Mapa final'!$A$109),"")</f>
        <v/>
      </c>
      <c r="K60" s="468"/>
      <c r="L60" s="468" t="str">
        <f>IF(AND('Mapa final'!$K$112="Media",'Mapa final'!$O$112="Leve"),CONCATENATE("R",'Mapa final'!$A$112),"")</f>
        <v/>
      </c>
      <c r="M60" s="468"/>
      <c r="N60" s="468" t="str">
        <f>IF(AND('Mapa final'!$K$115="Media",'Mapa final'!$O$115="Leve"),CONCATENATE("R",'Mapa final'!$A$115),"")</f>
        <v/>
      </c>
      <c r="O60" s="468"/>
      <c r="P60" s="468" t="str">
        <f>IF(AND('Mapa final'!$K$118="Media",'Mapa final'!$O$118="Leve"),CONCATENATE("R",'Mapa final'!$A$118),"")</f>
        <v/>
      </c>
      <c r="Q60" s="468"/>
      <c r="R60" s="468" t="str">
        <f>IF(AND('Mapa final'!$K$121="Media",'Mapa final'!$O$121="Leve"),CONCATENATE("R",'Mapa final'!$A$121),"")</f>
        <v/>
      </c>
      <c r="S60" s="469"/>
      <c r="T60" s="470" t="str">
        <f>IF(AND('Mapa final'!$K$109="Media",'Mapa final'!$O$109="Menor"),CONCATENATE("R",'Mapa final'!$A$109),"")</f>
        <v/>
      </c>
      <c r="U60" s="468"/>
      <c r="V60" s="468" t="str">
        <f>IF(AND('Mapa final'!$K$112="Media",'Mapa final'!$O$112="Menor"),CONCATENATE("R",'Mapa final'!$A$112),"")</f>
        <v>R36</v>
      </c>
      <c r="W60" s="468"/>
      <c r="X60" s="468" t="str">
        <f>IF(AND('Mapa final'!$K$115="Media",'Mapa final'!$O$115="Menor"),CONCATENATE("R",'Mapa final'!$A$115),"")</f>
        <v/>
      </c>
      <c r="Y60" s="468"/>
      <c r="Z60" s="468" t="str">
        <f>IF(AND('Mapa final'!$K$118="Media",'Mapa final'!$O$118="Menor"),CONCATENATE("R",'Mapa final'!$A$118),"")</f>
        <v/>
      </c>
      <c r="AA60" s="468"/>
      <c r="AB60" s="468" t="str">
        <f>IF(AND('Mapa final'!$K$121="Media",'Mapa final'!$O$121="Menor"),CONCATENATE("R",'Mapa final'!$A$121),"")</f>
        <v/>
      </c>
      <c r="AC60" s="469"/>
      <c r="AD60" s="470" t="str">
        <f>IF(AND('Mapa final'!$K$109="Media",'Mapa final'!$O$109="Moderado"),CONCATENATE("R",'Mapa final'!$A$109),"")</f>
        <v/>
      </c>
      <c r="AE60" s="468"/>
      <c r="AF60" s="468" t="str">
        <f>IF(AND('Mapa final'!$K$112="Media",'Mapa final'!$O$112="Moderado"),CONCATENATE("R",'Mapa final'!$A$112),"")</f>
        <v/>
      </c>
      <c r="AG60" s="468"/>
      <c r="AH60" s="468" t="str">
        <f>IF(AND('Mapa final'!$K$115="Media",'Mapa final'!$O$115="Moderado"),CONCATENATE("R",'Mapa final'!$A$115),"")</f>
        <v/>
      </c>
      <c r="AI60" s="468"/>
      <c r="AJ60" s="468" t="str">
        <f>IF(AND('Mapa final'!$K$118="Media",'Mapa final'!$O$118="Moderado"),CONCATENATE("R",'Mapa final'!$A$118),"")</f>
        <v/>
      </c>
      <c r="AK60" s="468"/>
      <c r="AL60" s="468" t="str">
        <f>IF(AND('Mapa final'!$K$121="Media",'Mapa final'!$O$121="Moderado"),CONCATENATE("R",'Mapa final'!$A$121),"")</f>
        <v>R39</v>
      </c>
      <c r="AM60" s="469"/>
      <c r="AN60" s="473" t="str">
        <f>IF(AND('Mapa final'!$K$109="Media",'Mapa final'!$O$109="Mayor"),CONCATENATE("R",'Mapa final'!$A$109),"")</f>
        <v>R35</v>
      </c>
      <c r="AO60" s="471"/>
      <c r="AP60" s="471" t="str">
        <f>IF(AND('Mapa final'!$K$112="Media",'Mapa final'!$O$112="Mayor"),CONCATENATE("R",'Mapa final'!$A$112),"")</f>
        <v/>
      </c>
      <c r="AQ60" s="471"/>
      <c r="AR60" s="471" t="str">
        <f>IF(AND('Mapa final'!$K$115="Media",'Mapa final'!$O$115="Mayor"),CONCATENATE("R",'Mapa final'!$A$115),"")</f>
        <v/>
      </c>
      <c r="AS60" s="471"/>
      <c r="AT60" s="471" t="str">
        <f>IF(AND('Mapa final'!$K$118="Media",'Mapa final'!$O$118="Mayor"),CONCATENATE("R",'Mapa final'!$A$118),"")</f>
        <v/>
      </c>
      <c r="AU60" s="471"/>
      <c r="AV60" s="471" t="str">
        <f>IF(AND('Mapa final'!$K$121="Media",'Mapa final'!$O$121="Mayor"),CONCATENATE("R",'Mapa final'!$A$121),"")</f>
        <v/>
      </c>
      <c r="AW60" s="472"/>
      <c r="AX60" s="467" t="str">
        <f>IF(AND('Mapa final'!$K$109="Media",'Mapa final'!$O$109="Catastrófico"),CONCATENATE("R",'Mapa final'!$A$109),"")</f>
        <v/>
      </c>
      <c r="AY60" s="465"/>
      <c r="AZ60" s="465" t="str">
        <f>IF(AND('Mapa final'!$K$112="Media",'Mapa final'!$O$112="Catastrófico"),CONCATENATE("R",'Mapa final'!$A$112),"")</f>
        <v/>
      </c>
      <c r="BA60" s="465"/>
      <c r="BB60" s="465" t="str">
        <f>IF(AND('Mapa final'!$K$115="Media",'Mapa final'!$O$115="Catastrófico"),CONCATENATE("R",'Mapa final'!$A$115),"")</f>
        <v/>
      </c>
      <c r="BC60" s="465"/>
      <c r="BD60" s="465" t="str">
        <f>IF(AND('Mapa final'!$K$118="Media",'Mapa final'!$O$118="Catastrófico"),CONCATENATE("R",'Mapa final'!$A$118),"")</f>
        <v/>
      </c>
      <c r="BE60" s="465"/>
      <c r="BF60" s="465" t="str">
        <f>IF(AND('Mapa final'!$K$121="Media",'Mapa final'!$O$121="Catastrófico"),CONCATENATE("R",'Mapa final'!$A$121),"")</f>
        <v/>
      </c>
      <c r="BG60" s="466"/>
      <c r="BH60" s="55"/>
      <c r="BI60" s="517"/>
      <c r="BJ60" s="518"/>
      <c r="BK60" s="518"/>
      <c r="BL60" s="518"/>
      <c r="BM60" s="518"/>
      <c r="BN60" s="519"/>
      <c r="BO60" s="55"/>
      <c r="BP60" s="55"/>
      <c r="BQ60" s="55"/>
      <c r="BR60" s="55"/>
      <c r="BS60" s="55"/>
      <c r="BT60" s="55"/>
      <c r="BU60" s="55"/>
      <c r="BV60" s="55"/>
      <c r="BW60" s="55"/>
      <c r="BX60" s="55"/>
      <c r="BY60" s="55"/>
      <c r="BZ60" s="55"/>
      <c r="CA60" s="55"/>
      <c r="CB60" s="55"/>
      <c r="CC60" s="55"/>
      <c r="CD60" s="55"/>
      <c r="CE60" s="55"/>
      <c r="CF60" s="55"/>
      <c r="CG60" s="55"/>
      <c r="CH60" s="55"/>
      <c r="CI60" s="55"/>
      <c r="CJ60" s="55"/>
      <c r="CK60" s="55"/>
      <c r="CL60" s="55"/>
      <c r="CM60" s="55"/>
      <c r="CN60" s="55"/>
      <c r="CO60" s="55"/>
      <c r="CP60" s="55"/>
      <c r="CQ60" s="55"/>
      <c r="CR60" s="55"/>
      <c r="CS60" s="55"/>
      <c r="CT60" s="55"/>
      <c r="CU60" s="55"/>
      <c r="CV60" s="55"/>
    </row>
    <row r="61" spans="1:100" ht="15" customHeight="1" x14ac:dyDescent="0.25">
      <c r="A61" s="55"/>
      <c r="B61" s="316"/>
      <c r="C61" s="316"/>
      <c r="D61" s="317"/>
      <c r="E61" s="534"/>
      <c r="F61" s="535"/>
      <c r="G61" s="535"/>
      <c r="H61" s="535"/>
      <c r="I61" s="535"/>
      <c r="J61" s="470"/>
      <c r="K61" s="468"/>
      <c r="L61" s="468"/>
      <c r="M61" s="468"/>
      <c r="N61" s="468"/>
      <c r="O61" s="468"/>
      <c r="P61" s="468"/>
      <c r="Q61" s="468"/>
      <c r="R61" s="468"/>
      <c r="S61" s="469"/>
      <c r="T61" s="470"/>
      <c r="U61" s="468"/>
      <c r="V61" s="468"/>
      <c r="W61" s="468"/>
      <c r="X61" s="468"/>
      <c r="Y61" s="468"/>
      <c r="Z61" s="468"/>
      <c r="AA61" s="468"/>
      <c r="AB61" s="468"/>
      <c r="AC61" s="469"/>
      <c r="AD61" s="470"/>
      <c r="AE61" s="468"/>
      <c r="AF61" s="468"/>
      <c r="AG61" s="468"/>
      <c r="AH61" s="468"/>
      <c r="AI61" s="468"/>
      <c r="AJ61" s="468"/>
      <c r="AK61" s="468"/>
      <c r="AL61" s="468"/>
      <c r="AM61" s="469"/>
      <c r="AN61" s="473"/>
      <c r="AO61" s="471"/>
      <c r="AP61" s="471"/>
      <c r="AQ61" s="471"/>
      <c r="AR61" s="471"/>
      <c r="AS61" s="471"/>
      <c r="AT61" s="471"/>
      <c r="AU61" s="471"/>
      <c r="AV61" s="471"/>
      <c r="AW61" s="472"/>
      <c r="AX61" s="467"/>
      <c r="AY61" s="465"/>
      <c r="AZ61" s="465"/>
      <c r="BA61" s="465"/>
      <c r="BB61" s="465"/>
      <c r="BC61" s="465"/>
      <c r="BD61" s="465"/>
      <c r="BE61" s="465"/>
      <c r="BF61" s="465"/>
      <c r="BG61" s="466"/>
      <c r="BH61" s="55"/>
      <c r="BI61" s="517"/>
      <c r="BJ61" s="518"/>
      <c r="BK61" s="518"/>
      <c r="BL61" s="518"/>
      <c r="BM61" s="518"/>
      <c r="BN61" s="519"/>
      <c r="BO61" s="55"/>
      <c r="BP61" s="55"/>
      <c r="BQ61" s="55"/>
      <c r="BR61" s="55"/>
      <c r="BS61" s="55"/>
      <c r="BT61" s="55"/>
      <c r="BU61" s="55"/>
      <c r="BV61" s="55"/>
      <c r="BW61" s="55"/>
      <c r="BX61" s="55"/>
      <c r="BY61" s="55"/>
      <c r="BZ61" s="55"/>
      <c r="CA61" s="55"/>
      <c r="CB61" s="55"/>
      <c r="CC61" s="55"/>
      <c r="CD61" s="55"/>
      <c r="CE61" s="55"/>
      <c r="CF61" s="55"/>
      <c r="CG61" s="55"/>
      <c r="CH61" s="55"/>
      <c r="CI61" s="55"/>
      <c r="CJ61" s="55"/>
      <c r="CK61" s="55"/>
      <c r="CL61" s="55"/>
      <c r="CM61" s="55"/>
      <c r="CN61" s="55"/>
      <c r="CO61" s="55"/>
      <c r="CP61" s="55"/>
      <c r="CQ61" s="55"/>
      <c r="CR61" s="55"/>
      <c r="CS61" s="55"/>
      <c r="CT61" s="55"/>
      <c r="CU61" s="55"/>
      <c r="CV61" s="55"/>
    </row>
    <row r="62" spans="1:100" ht="15" customHeight="1" x14ac:dyDescent="0.25">
      <c r="A62" s="55"/>
      <c r="B62" s="316"/>
      <c r="C62" s="316"/>
      <c r="D62" s="317"/>
      <c r="E62" s="534"/>
      <c r="F62" s="535"/>
      <c r="G62" s="535"/>
      <c r="H62" s="535"/>
      <c r="I62" s="535"/>
      <c r="J62" s="470" t="str">
        <f>IF(AND('Mapa final'!$K$124="Media",'Mapa final'!$O$124="Leve"),CONCATENATE("R",'Mapa final'!$A$124),"")</f>
        <v/>
      </c>
      <c r="K62" s="468"/>
      <c r="L62" s="468" t="str">
        <f>IF(AND('Mapa final'!$K$127="Media",'Mapa final'!$O$127="Leve"),CONCATENATE("R",'Mapa final'!$A$127),"")</f>
        <v/>
      </c>
      <c r="M62" s="468"/>
      <c r="N62" s="468" t="str">
        <f>IF(AND('Mapa final'!$K$130="Media",'Mapa final'!$O$130="Leve"),CONCATENATE("R",'Mapa final'!$A$130),"")</f>
        <v/>
      </c>
      <c r="O62" s="468"/>
      <c r="P62" s="468" t="str">
        <f>IF(AND('Mapa final'!$K$133="Media",'Mapa final'!$O$133="Leve"),CONCATENATE("R",'Mapa final'!$A$133),"")</f>
        <v/>
      </c>
      <c r="Q62" s="468"/>
      <c r="R62" s="468" t="str">
        <f>IF(AND('Mapa final'!$K$136="Media",'Mapa final'!$O$136="Leve"),CONCATENATE("R",'Mapa final'!$A$136),"")</f>
        <v/>
      </c>
      <c r="S62" s="469"/>
      <c r="T62" s="470" t="str">
        <f>IF(AND('Mapa final'!$K$124="Media",'Mapa final'!$O$124="Menor"),CONCATENATE("R",'Mapa final'!$A$124),"")</f>
        <v/>
      </c>
      <c r="U62" s="468"/>
      <c r="V62" s="468" t="str">
        <f>IF(AND('Mapa final'!$K$127="Media",'Mapa final'!$O$127="Menor"),CONCATENATE("R",'Mapa final'!$A$127),"")</f>
        <v/>
      </c>
      <c r="W62" s="468"/>
      <c r="X62" s="468" t="str">
        <f>IF(AND('Mapa final'!$K$130="Media",'Mapa final'!$O$130="Menor"),CONCATENATE("R",'Mapa final'!$A$130),"")</f>
        <v/>
      </c>
      <c r="Y62" s="468"/>
      <c r="Z62" s="468" t="str">
        <f>IF(AND('Mapa final'!$K$133="Media",'Mapa final'!$O$133="Menor"),CONCATENATE("R",'Mapa final'!$A$133),"")</f>
        <v/>
      </c>
      <c r="AA62" s="468"/>
      <c r="AB62" s="468" t="str">
        <f>IF(AND('Mapa final'!$K$136="Media",'Mapa final'!$O$136="Menor"),CONCATENATE("R",'Mapa final'!$A$136),"")</f>
        <v/>
      </c>
      <c r="AC62" s="469"/>
      <c r="AD62" s="470" t="str">
        <f>IF(AND('Mapa final'!$K$124="Media",'Mapa final'!$O$124="Moderado"),CONCATENATE("R",'Mapa final'!$A$124),"")</f>
        <v>R40</v>
      </c>
      <c r="AE62" s="468"/>
      <c r="AF62" s="468" t="str">
        <f>IF(AND('Mapa final'!$K$127="Media",'Mapa final'!$O$127="Moderado"),CONCATENATE("R",'Mapa final'!$A$127),"")</f>
        <v/>
      </c>
      <c r="AG62" s="468"/>
      <c r="AH62" s="468" t="str">
        <f>IF(AND('Mapa final'!$K$130="Media",'Mapa final'!$O$130="Moderado"),CONCATENATE("R",'Mapa final'!$A$130),"")</f>
        <v/>
      </c>
      <c r="AI62" s="468"/>
      <c r="AJ62" s="468" t="str">
        <f>IF(AND('Mapa final'!$K$133="Media",'Mapa final'!$O$133="Moderado"),CONCATENATE("R",'Mapa final'!$A$133),"")</f>
        <v>R43</v>
      </c>
      <c r="AK62" s="468"/>
      <c r="AL62" s="468" t="str">
        <f>IF(AND('Mapa final'!$K$136="Media",'Mapa final'!$O$136="Moderado"),CONCATENATE("R",'Mapa final'!$A$136),"")</f>
        <v/>
      </c>
      <c r="AM62" s="469"/>
      <c r="AN62" s="473" t="str">
        <f>IF(AND('Mapa final'!$K$124="Media",'Mapa final'!$O$124="Mayor"),CONCATENATE("R",'Mapa final'!$A$124),"")</f>
        <v/>
      </c>
      <c r="AO62" s="471"/>
      <c r="AP62" s="471" t="str">
        <f>IF(AND('Mapa final'!$K$127="Media",'Mapa final'!$O$127="Mayor"),CONCATENATE("R",'Mapa final'!$A$127),"")</f>
        <v/>
      </c>
      <c r="AQ62" s="471"/>
      <c r="AR62" s="471" t="str">
        <f>IF(AND('Mapa final'!$K$130="Media",'Mapa final'!$O$130="Mayor"),CONCATENATE("R",'Mapa final'!$A$130),"")</f>
        <v>R42</v>
      </c>
      <c r="AS62" s="471"/>
      <c r="AT62" s="471" t="str">
        <f>IF(AND('Mapa final'!$K$133="Media",'Mapa final'!$O$133="Mayor"),CONCATENATE("R",'Mapa final'!$A$133),"")</f>
        <v/>
      </c>
      <c r="AU62" s="471"/>
      <c r="AV62" s="471" t="str">
        <f>IF(AND('Mapa final'!$K$136="Media",'Mapa final'!$O$136="Mayor"),CONCATENATE("R",'Mapa final'!$A$136),"")</f>
        <v>R44</v>
      </c>
      <c r="AW62" s="472"/>
      <c r="AX62" s="467" t="str">
        <f>IF(AND('Mapa final'!$K$124="Media",'Mapa final'!$O$124="Catastrófico"),CONCATENATE("R",'Mapa final'!$A$124),"")</f>
        <v/>
      </c>
      <c r="AY62" s="465"/>
      <c r="AZ62" s="465" t="str">
        <f>IF(AND('Mapa final'!$K$127="Media",'Mapa final'!$O$127="Catastrófico"),CONCATENATE("R",'Mapa final'!$A$127),"")</f>
        <v/>
      </c>
      <c r="BA62" s="465"/>
      <c r="BB62" s="465" t="str">
        <f>IF(AND('Mapa final'!$K$130="Media",'Mapa final'!$O$130="Catastrófico"),CONCATENATE("R",'Mapa final'!$A$130),"")</f>
        <v/>
      </c>
      <c r="BC62" s="465"/>
      <c r="BD62" s="465" t="str">
        <f>IF(AND('Mapa final'!$K$133="Media",'Mapa final'!$O$133="Catastrófico"),CONCATENATE("R",'Mapa final'!$A$133),"")</f>
        <v/>
      </c>
      <c r="BE62" s="465"/>
      <c r="BF62" s="465" t="str">
        <f>IF(AND('Mapa final'!$K$136="Media",'Mapa final'!$O$136="Catastrófico"),CONCATENATE("R",'Mapa final'!$A$136),"")</f>
        <v/>
      </c>
      <c r="BG62" s="466"/>
      <c r="BH62" s="55"/>
      <c r="BI62" s="517"/>
      <c r="BJ62" s="518"/>
      <c r="BK62" s="518"/>
      <c r="BL62" s="518"/>
      <c r="BM62" s="518"/>
      <c r="BN62" s="519"/>
      <c r="BO62" s="55"/>
      <c r="BP62" s="55"/>
      <c r="BQ62" s="55"/>
      <c r="BR62" s="55"/>
      <c r="BS62" s="55"/>
      <c r="BT62" s="55"/>
      <c r="BU62" s="55"/>
      <c r="BV62" s="55"/>
      <c r="BW62" s="55"/>
      <c r="BX62" s="55"/>
      <c r="BY62" s="55"/>
      <c r="BZ62" s="55"/>
      <c r="CA62" s="55"/>
      <c r="CB62" s="55"/>
      <c r="CC62" s="55"/>
      <c r="CD62" s="55"/>
      <c r="CE62" s="55"/>
      <c r="CF62" s="55"/>
      <c r="CG62" s="55"/>
      <c r="CH62" s="55"/>
      <c r="CI62" s="55"/>
      <c r="CJ62" s="55"/>
      <c r="CK62" s="55"/>
      <c r="CL62" s="55"/>
      <c r="CM62" s="55"/>
      <c r="CN62" s="55"/>
      <c r="CO62" s="55"/>
      <c r="CP62" s="55"/>
      <c r="CQ62" s="55"/>
      <c r="CR62" s="55"/>
      <c r="CS62" s="55"/>
      <c r="CT62" s="55"/>
      <c r="CU62" s="55"/>
      <c r="CV62" s="55"/>
    </row>
    <row r="63" spans="1:100" ht="15" customHeight="1" x14ac:dyDescent="0.25">
      <c r="A63" s="55"/>
      <c r="B63" s="316"/>
      <c r="C63" s="316"/>
      <c r="D63" s="317"/>
      <c r="E63" s="534"/>
      <c r="F63" s="535"/>
      <c r="G63" s="535"/>
      <c r="H63" s="535"/>
      <c r="I63" s="535"/>
      <c r="J63" s="470"/>
      <c r="K63" s="468"/>
      <c r="L63" s="468"/>
      <c r="M63" s="468"/>
      <c r="N63" s="468"/>
      <c r="O63" s="468"/>
      <c r="P63" s="468"/>
      <c r="Q63" s="468"/>
      <c r="R63" s="468"/>
      <c r="S63" s="469"/>
      <c r="T63" s="470"/>
      <c r="U63" s="468"/>
      <c r="V63" s="468"/>
      <c r="W63" s="468"/>
      <c r="X63" s="468"/>
      <c r="Y63" s="468"/>
      <c r="Z63" s="468"/>
      <c r="AA63" s="468"/>
      <c r="AB63" s="468"/>
      <c r="AC63" s="469"/>
      <c r="AD63" s="470"/>
      <c r="AE63" s="468"/>
      <c r="AF63" s="468"/>
      <c r="AG63" s="468"/>
      <c r="AH63" s="468"/>
      <c r="AI63" s="468"/>
      <c r="AJ63" s="468"/>
      <c r="AK63" s="468"/>
      <c r="AL63" s="468"/>
      <c r="AM63" s="469"/>
      <c r="AN63" s="473"/>
      <c r="AO63" s="471"/>
      <c r="AP63" s="471"/>
      <c r="AQ63" s="471"/>
      <c r="AR63" s="471"/>
      <c r="AS63" s="471"/>
      <c r="AT63" s="471"/>
      <c r="AU63" s="471"/>
      <c r="AV63" s="471"/>
      <c r="AW63" s="472"/>
      <c r="AX63" s="467"/>
      <c r="AY63" s="465"/>
      <c r="AZ63" s="465"/>
      <c r="BA63" s="465"/>
      <c r="BB63" s="465"/>
      <c r="BC63" s="465"/>
      <c r="BD63" s="465"/>
      <c r="BE63" s="465"/>
      <c r="BF63" s="465"/>
      <c r="BG63" s="466"/>
      <c r="BH63" s="55"/>
      <c r="BI63" s="517"/>
      <c r="BJ63" s="518"/>
      <c r="BK63" s="518"/>
      <c r="BL63" s="518"/>
      <c r="BM63" s="518"/>
      <c r="BN63" s="519"/>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row>
    <row r="64" spans="1:100" ht="15" customHeight="1" x14ac:dyDescent="0.25">
      <c r="A64" s="55"/>
      <c r="B64" s="316"/>
      <c r="C64" s="316"/>
      <c r="D64" s="317"/>
      <c r="E64" s="534"/>
      <c r="F64" s="535"/>
      <c r="G64" s="535"/>
      <c r="H64" s="535"/>
      <c r="I64" s="535"/>
      <c r="J64" s="470" t="str">
        <f>IF(AND('Mapa final'!$K$139="Media",'Mapa final'!$O$139="Leve"),CONCATENATE("R",'Mapa final'!$A$139),"")</f>
        <v/>
      </c>
      <c r="K64" s="468"/>
      <c r="L64" s="468" t="str">
        <f>IF(AND('Mapa final'!$K$142="Media",'Mapa final'!$O$142="Leve"),CONCATENATE("R",'Mapa final'!$A$142),"")</f>
        <v/>
      </c>
      <c r="M64" s="468"/>
      <c r="N64" s="468" t="str">
        <f>IF(AND('Mapa final'!$K$145="Media",'Mapa final'!$O$145="Leve"),CONCATENATE("R",'Mapa final'!$A$145),"")</f>
        <v/>
      </c>
      <c r="O64" s="468"/>
      <c r="P64" s="468" t="str">
        <f>IF(AND('Mapa final'!$K$148="Media",'Mapa final'!$O$148="Leve"),CONCATENATE("R",'Mapa final'!$A$148),"")</f>
        <v/>
      </c>
      <c r="Q64" s="468"/>
      <c r="R64" s="468" t="str">
        <f>IF(AND('Mapa final'!$K$151="Media",'Mapa final'!$O$151="Leve"),CONCATENATE("R",'Mapa final'!$A$151),"")</f>
        <v/>
      </c>
      <c r="S64" s="469"/>
      <c r="T64" s="470" t="str">
        <f>IF(AND('Mapa final'!$K$139="Media",'Mapa final'!$O$139="Menor"),CONCATENATE("R",'Mapa final'!$A$139),"")</f>
        <v/>
      </c>
      <c r="U64" s="468"/>
      <c r="V64" s="468" t="str">
        <f>IF(AND('Mapa final'!$K$142="Media",'Mapa final'!$O$142="Menor"),CONCATENATE("R",'Mapa final'!$A$142),"")</f>
        <v/>
      </c>
      <c r="W64" s="468"/>
      <c r="X64" s="468" t="str">
        <f>IF(AND('Mapa final'!$K$145="Media",'Mapa final'!$O$145="Menor"),CONCATENATE("R",'Mapa final'!$A$145),"")</f>
        <v/>
      </c>
      <c r="Y64" s="468"/>
      <c r="Z64" s="468" t="str">
        <f>IF(AND('Mapa final'!$K$148="Media",'Mapa final'!$O$148="Menor"),CONCATENATE("R",'Mapa final'!$A$148),"")</f>
        <v/>
      </c>
      <c r="AA64" s="468"/>
      <c r="AB64" s="468" t="str">
        <f>IF(AND('Mapa final'!$K$151="Media",'Mapa final'!$O$151="Menor"),CONCATENATE("R",'Mapa final'!$A$151),"")</f>
        <v/>
      </c>
      <c r="AC64" s="469"/>
      <c r="AD64" s="470" t="str">
        <f>IF(AND('Mapa final'!$K$139="Media",'Mapa final'!$O$139="Moderado"),CONCATENATE("R",'Mapa final'!$A$139),"")</f>
        <v/>
      </c>
      <c r="AE64" s="468"/>
      <c r="AF64" s="468" t="str">
        <f>IF(AND('Mapa final'!$K$142="Media",'Mapa final'!$O$142="Moderado"),CONCATENATE("R",'Mapa final'!$A$142),"")</f>
        <v/>
      </c>
      <c r="AG64" s="468"/>
      <c r="AH64" s="468" t="str">
        <f>IF(AND('Mapa final'!$K$145="Media",'Mapa final'!$O$145="Moderado"),CONCATENATE("R",'Mapa final'!$A$145),"")</f>
        <v/>
      </c>
      <c r="AI64" s="468"/>
      <c r="AJ64" s="468" t="str">
        <f>IF(AND('Mapa final'!$K$148="Media",'Mapa final'!$O$148="Moderado"),CONCATENATE("R",'Mapa final'!$A$148),"")</f>
        <v/>
      </c>
      <c r="AK64" s="468"/>
      <c r="AL64" s="468" t="str">
        <f>IF(AND('Mapa final'!$K$151="Media",'Mapa final'!$O$151="Moderado"),CONCATENATE("R",'Mapa final'!$A$151),"")</f>
        <v/>
      </c>
      <c r="AM64" s="469"/>
      <c r="AN64" s="473" t="str">
        <f>IF(AND('Mapa final'!$K$139="Media",'Mapa final'!$O$139="Mayor"),CONCATENATE("R",'Mapa final'!$A$139),"")</f>
        <v/>
      </c>
      <c r="AO64" s="471"/>
      <c r="AP64" s="471" t="str">
        <f>IF(AND('Mapa final'!$K$142="Media",'Mapa final'!$O$142="Mayor"),CONCATENATE("R",'Mapa final'!$A$142),"")</f>
        <v/>
      </c>
      <c r="AQ64" s="471"/>
      <c r="AR64" s="471" t="str">
        <f>IF(AND('Mapa final'!$K$145="Media",'Mapa final'!$O$145="Mayor"),CONCATENATE("R",'Mapa final'!$A$145),"")</f>
        <v/>
      </c>
      <c r="AS64" s="471"/>
      <c r="AT64" s="471" t="str">
        <f>IF(AND('Mapa final'!$K$148="Media",'Mapa final'!$O$148="Mayor"),CONCATENATE("R",'Mapa final'!$A$148),"")</f>
        <v/>
      </c>
      <c r="AU64" s="471"/>
      <c r="AV64" s="471" t="str">
        <f>IF(AND('Mapa final'!$K$151="Media",'Mapa final'!$O$151="Mayor"),CONCATENATE("R",'Mapa final'!$A$151),"")</f>
        <v/>
      </c>
      <c r="AW64" s="472"/>
      <c r="AX64" s="467" t="str">
        <f>IF(AND('Mapa final'!$K$139="Media",'Mapa final'!$O$139="Catastrófico"),CONCATENATE("R",'Mapa final'!$A$139),"")</f>
        <v/>
      </c>
      <c r="AY64" s="465"/>
      <c r="AZ64" s="465" t="str">
        <f>IF(AND('Mapa final'!$K$142="Media",'Mapa final'!$O$142="Catastrófico"),CONCATENATE("R",'Mapa final'!$A$142),"")</f>
        <v/>
      </c>
      <c r="BA64" s="465"/>
      <c r="BB64" s="465" t="str">
        <f>IF(AND('Mapa final'!$K$145="Media",'Mapa final'!$O$145="Catastrófico"),CONCATENATE("R",'Mapa final'!$A$145),"")</f>
        <v/>
      </c>
      <c r="BC64" s="465"/>
      <c r="BD64" s="465" t="str">
        <f>IF(AND('Mapa final'!$K$148="Media",'Mapa final'!$O$148="Catastrófico"),CONCATENATE("R",'Mapa final'!$A$148),"")</f>
        <v/>
      </c>
      <c r="BE64" s="465"/>
      <c r="BF64" s="465" t="str">
        <f>IF(AND('Mapa final'!$K$151="Media",'Mapa final'!$O$151="Catastrófico"),CONCATENATE("R",'Mapa final'!$A$151),"")</f>
        <v/>
      </c>
      <c r="BG64" s="466"/>
      <c r="BH64" s="55"/>
      <c r="BI64" s="517"/>
      <c r="BJ64" s="518"/>
      <c r="BK64" s="518"/>
      <c r="BL64" s="518"/>
      <c r="BM64" s="518"/>
      <c r="BN64" s="519"/>
      <c r="BO64" s="55"/>
      <c r="BP64" s="55"/>
      <c r="BQ64" s="55"/>
      <c r="BR64" s="55"/>
      <c r="BS64" s="55"/>
      <c r="BT64" s="55"/>
      <c r="BU64" s="55"/>
      <c r="BV64" s="55"/>
      <c r="BW64" s="55"/>
      <c r="BX64" s="55"/>
      <c r="BY64" s="55"/>
      <c r="BZ64" s="55"/>
      <c r="CA64" s="55"/>
      <c r="CB64" s="55"/>
      <c r="CC64" s="55"/>
      <c r="CD64" s="55"/>
      <c r="CE64" s="55"/>
      <c r="CF64" s="55"/>
      <c r="CG64" s="55"/>
      <c r="CH64" s="55"/>
      <c r="CI64" s="55"/>
      <c r="CJ64" s="55"/>
      <c r="CK64" s="55"/>
      <c r="CL64" s="55"/>
      <c r="CM64" s="55"/>
      <c r="CN64" s="55"/>
      <c r="CO64" s="55"/>
      <c r="CP64" s="55"/>
      <c r="CQ64" s="55"/>
      <c r="CR64" s="55"/>
      <c r="CS64" s="55"/>
      <c r="CT64" s="55"/>
      <c r="CU64" s="55"/>
      <c r="CV64" s="55"/>
    </row>
    <row r="65" spans="1:100" ht="15.75" customHeight="1" thickBot="1" x14ac:dyDescent="0.3">
      <c r="A65" s="55"/>
      <c r="B65" s="316"/>
      <c r="C65" s="316"/>
      <c r="D65" s="317"/>
      <c r="E65" s="536"/>
      <c r="F65" s="537"/>
      <c r="G65" s="537"/>
      <c r="H65" s="537"/>
      <c r="I65" s="537"/>
      <c r="J65" s="480"/>
      <c r="K65" s="481"/>
      <c r="L65" s="481"/>
      <c r="M65" s="481"/>
      <c r="N65" s="481"/>
      <c r="O65" s="481"/>
      <c r="P65" s="481"/>
      <c r="Q65" s="481"/>
      <c r="R65" s="481"/>
      <c r="S65" s="482"/>
      <c r="T65" s="480"/>
      <c r="U65" s="481"/>
      <c r="V65" s="481"/>
      <c r="W65" s="481"/>
      <c r="X65" s="481"/>
      <c r="Y65" s="481"/>
      <c r="Z65" s="481"/>
      <c r="AA65" s="481"/>
      <c r="AB65" s="481"/>
      <c r="AC65" s="482"/>
      <c r="AD65" s="480"/>
      <c r="AE65" s="481"/>
      <c r="AF65" s="481"/>
      <c r="AG65" s="481"/>
      <c r="AH65" s="481"/>
      <c r="AI65" s="481"/>
      <c r="AJ65" s="481"/>
      <c r="AK65" s="481"/>
      <c r="AL65" s="481"/>
      <c r="AM65" s="482"/>
      <c r="AN65" s="474"/>
      <c r="AO65" s="475"/>
      <c r="AP65" s="475"/>
      <c r="AQ65" s="475"/>
      <c r="AR65" s="475"/>
      <c r="AS65" s="475"/>
      <c r="AT65" s="475"/>
      <c r="AU65" s="475"/>
      <c r="AV65" s="475"/>
      <c r="AW65" s="476"/>
      <c r="AX65" s="487"/>
      <c r="AY65" s="486"/>
      <c r="AZ65" s="486"/>
      <c r="BA65" s="486"/>
      <c r="BB65" s="486"/>
      <c r="BC65" s="486"/>
      <c r="BD65" s="486"/>
      <c r="BE65" s="486"/>
      <c r="BF65" s="486"/>
      <c r="BG65" s="488"/>
      <c r="BH65" s="55"/>
      <c r="BI65" s="517"/>
      <c r="BJ65" s="518"/>
      <c r="BK65" s="518"/>
      <c r="BL65" s="518"/>
      <c r="BM65" s="518"/>
      <c r="BN65" s="519"/>
      <c r="BO65" s="55"/>
      <c r="BP65" s="55"/>
      <c r="BQ65" s="55"/>
      <c r="BR65" s="55"/>
      <c r="BS65" s="55"/>
      <c r="BT65" s="55"/>
      <c r="BU65" s="55"/>
      <c r="BV65" s="55"/>
      <c r="BW65" s="55"/>
      <c r="BX65" s="55"/>
      <c r="BY65" s="55"/>
      <c r="BZ65" s="55"/>
      <c r="CA65" s="55"/>
      <c r="CB65" s="55"/>
      <c r="CC65" s="55"/>
      <c r="CD65" s="55"/>
      <c r="CE65" s="55"/>
      <c r="CF65" s="55"/>
      <c r="CG65" s="55"/>
      <c r="CH65" s="55"/>
      <c r="CI65" s="55"/>
      <c r="CJ65" s="55"/>
      <c r="CK65" s="55"/>
      <c r="CL65" s="55"/>
      <c r="CM65" s="55"/>
      <c r="CN65" s="55"/>
      <c r="CO65" s="55"/>
      <c r="CP65" s="55"/>
      <c r="CQ65" s="55"/>
      <c r="CR65" s="55"/>
      <c r="CS65" s="55"/>
      <c r="CT65" s="55"/>
      <c r="CU65" s="55"/>
      <c r="CV65" s="55"/>
    </row>
    <row r="66" spans="1:100" ht="15" customHeight="1" x14ac:dyDescent="0.25">
      <c r="A66" s="55"/>
      <c r="B66" s="316"/>
      <c r="C66" s="316"/>
      <c r="D66" s="317"/>
      <c r="E66" s="532" t="s">
        <v>105</v>
      </c>
      <c r="F66" s="533"/>
      <c r="G66" s="533"/>
      <c r="H66" s="533"/>
      <c r="I66" s="533"/>
      <c r="J66" s="546" t="str">
        <f>IF(AND('Mapa final'!$K$7="Baja",'Mapa final'!$O$7="Leve"),CONCATENATE("R",'Mapa final'!$A$7),"")</f>
        <v/>
      </c>
      <c r="K66" s="493"/>
      <c r="L66" s="493" t="str">
        <f>IF(AND('Mapa final'!$K$10="Baja",'Mapa final'!$O$10="Leve"),CONCATENATE("R",'Mapa final'!$A$10),"")</f>
        <v/>
      </c>
      <c r="M66" s="493"/>
      <c r="N66" s="493" t="str">
        <f>IF(AND('Mapa final'!$K$13="Baja",'Mapa final'!$O$13="Leve"),CONCATENATE("R",'Mapa final'!$A$13),"")</f>
        <v/>
      </c>
      <c r="O66" s="493"/>
      <c r="P66" s="493" t="e">
        <f>IF(AND('Mapa final'!#REF!="Baja",'Mapa final'!#REF!="Leve"),CONCATENATE("R",'Mapa final'!#REF!),"")</f>
        <v>#REF!</v>
      </c>
      <c r="Q66" s="493"/>
      <c r="R66" s="493" t="str">
        <f>IF(AND('Mapa final'!$K$16="Baja",'Mapa final'!$O$16="Leve"),CONCATENATE("R",'Mapa final'!$A$16),"")</f>
        <v/>
      </c>
      <c r="S66" s="495"/>
      <c r="T66" s="477" t="str">
        <f>IF(AND('Mapa final'!$K$7="Baja",'Mapa final'!$O$7="Menor"),CONCATENATE("R",'Mapa final'!$A$7),"")</f>
        <v/>
      </c>
      <c r="U66" s="478"/>
      <c r="V66" s="478" t="str">
        <f>IF(AND('Mapa final'!$K$10="Baja",'Mapa final'!$O$10="Menor"),CONCATENATE("R",'Mapa final'!$A$10),"")</f>
        <v/>
      </c>
      <c r="W66" s="478"/>
      <c r="X66" s="478" t="str">
        <f>IF(AND('Mapa final'!$K$13="Baja",'Mapa final'!$O$13="Menor"),CONCATENATE("R",'Mapa final'!$A$13),"")</f>
        <v/>
      </c>
      <c r="Y66" s="478"/>
      <c r="Z66" s="478" t="e">
        <f>IF(AND('Mapa final'!#REF!="Baja",'Mapa final'!#REF!="Menor"),CONCATENATE("R",'Mapa final'!#REF!),"")</f>
        <v>#REF!</v>
      </c>
      <c r="AA66" s="478"/>
      <c r="AB66" s="478" t="str">
        <f>IF(AND('Mapa final'!$K$16="Baja",'Mapa final'!$O$16="Menor"),CONCATENATE("R",'Mapa final'!$A$16),"")</f>
        <v/>
      </c>
      <c r="AC66" s="479"/>
      <c r="AD66" s="477" t="str">
        <f>IF(AND('Mapa final'!$K$7="Baja",'Mapa final'!$O$7="Moderado"),CONCATENATE("R",'Mapa final'!$A$7),"")</f>
        <v>R1</v>
      </c>
      <c r="AE66" s="478"/>
      <c r="AF66" s="478" t="str">
        <f>IF(AND('Mapa final'!$K$10="Baja",'Mapa final'!$O$10="Moderado"),CONCATENATE("R",'Mapa final'!$A$10),"")</f>
        <v/>
      </c>
      <c r="AG66" s="478"/>
      <c r="AH66" s="478" t="str">
        <f>IF(AND('Mapa final'!$K$13="Baja",'Mapa final'!$O$13="Moderado"),CONCATENATE("R",'Mapa final'!$A$13),"")</f>
        <v/>
      </c>
      <c r="AI66" s="478"/>
      <c r="AJ66" s="478" t="e">
        <f>IF(AND('Mapa final'!#REF!="Baja",'Mapa final'!#REF!="Moderado"),CONCATENATE("R",'Mapa final'!#REF!),"")</f>
        <v>#REF!</v>
      </c>
      <c r="AK66" s="478"/>
      <c r="AL66" s="478" t="str">
        <f>IF(AND('Mapa final'!$K$16="Baja",'Mapa final'!$O$16="Moderado"),CONCATENATE("R",'Mapa final'!$A$16),"")</f>
        <v/>
      </c>
      <c r="AM66" s="479"/>
      <c r="AN66" s="483" t="str">
        <f>IF(AND('Mapa final'!$K$7="Baja",'Mapa final'!$O$7="Mayor"),CONCATENATE("R",'Mapa final'!$A$7),"")</f>
        <v/>
      </c>
      <c r="AO66" s="484"/>
      <c r="AP66" s="484" t="str">
        <f>IF(AND('Mapa final'!$K$10="Baja",'Mapa final'!$O$10="Mayor"),CONCATENATE("R",'Mapa final'!$A$10),"")</f>
        <v/>
      </c>
      <c r="AQ66" s="484"/>
      <c r="AR66" s="484" t="str">
        <f>IF(AND('Mapa final'!$K$13="Baja",'Mapa final'!$O$13="Mayor"),CONCATENATE("R",'Mapa final'!$A$13),"")</f>
        <v/>
      </c>
      <c r="AS66" s="484"/>
      <c r="AT66" s="484" t="e">
        <f>IF(AND('Mapa final'!#REF!="Baja",'Mapa final'!#REF!="Mayor"),CONCATENATE("R",'Mapa final'!#REF!),"")</f>
        <v>#REF!</v>
      </c>
      <c r="AU66" s="484"/>
      <c r="AV66" s="484" t="str">
        <f>IF(AND('Mapa final'!$K$16="Baja",'Mapa final'!$O$16="Mayor"),CONCATENATE("R",'Mapa final'!$A$16),"")</f>
        <v/>
      </c>
      <c r="AW66" s="485"/>
      <c r="AX66" s="490" t="str">
        <f>IF(AND('Mapa final'!$K$7="Baja",'Mapa final'!$O$7="Catastrófico"),CONCATENATE("R",'Mapa final'!$A$7),"")</f>
        <v/>
      </c>
      <c r="AY66" s="489"/>
      <c r="AZ66" s="489" t="str">
        <f>IF(AND('Mapa final'!$K$10="Baja",'Mapa final'!$O$10="Catastrófico"),CONCATENATE("R",'Mapa final'!$A$10),"")</f>
        <v/>
      </c>
      <c r="BA66" s="489"/>
      <c r="BB66" s="489" t="str">
        <f>IF(AND('Mapa final'!$K$13="Baja",'Mapa final'!$O$13="Catastrófico"),CONCATENATE("R",'Mapa final'!$A$13),"")</f>
        <v/>
      </c>
      <c r="BC66" s="489"/>
      <c r="BD66" s="489" t="e">
        <f>IF(AND('Mapa final'!#REF!="Baja",'Mapa final'!#REF!="Catastrófico"),CONCATENATE("R",'Mapa final'!#REF!),"")</f>
        <v>#REF!</v>
      </c>
      <c r="BE66" s="489"/>
      <c r="BF66" s="489" t="str">
        <f>IF(AND('Mapa final'!$K$16="Baja",'Mapa final'!$O$16="Catastrófico"),CONCATENATE("R",'Mapa final'!$A$16),"")</f>
        <v/>
      </c>
      <c r="BG66" s="545"/>
      <c r="BH66" s="55"/>
      <c r="BI66" s="517"/>
      <c r="BJ66" s="518"/>
      <c r="BK66" s="518"/>
      <c r="BL66" s="518"/>
      <c r="BM66" s="518"/>
      <c r="BN66" s="519"/>
      <c r="BO66" s="55"/>
      <c r="BP66" s="55"/>
      <c r="BQ66" s="55"/>
      <c r="BR66" s="55"/>
      <c r="BS66" s="55"/>
      <c r="BT66" s="55"/>
      <c r="BU66" s="55"/>
      <c r="BV66" s="55"/>
      <c r="BW66" s="55"/>
      <c r="BX66" s="55"/>
      <c r="BY66" s="55"/>
      <c r="BZ66" s="55"/>
      <c r="CA66" s="55"/>
      <c r="CB66" s="55"/>
      <c r="CC66" s="55"/>
      <c r="CD66" s="55"/>
      <c r="CE66" s="55"/>
      <c r="CF66" s="55"/>
      <c r="CG66" s="55"/>
      <c r="CH66" s="55"/>
      <c r="CI66" s="55"/>
      <c r="CJ66" s="55"/>
      <c r="CK66" s="55"/>
      <c r="CL66" s="55"/>
      <c r="CM66" s="55"/>
      <c r="CN66" s="55"/>
      <c r="CO66" s="55"/>
      <c r="CP66" s="55"/>
      <c r="CQ66" s="55"/>
      <c r="CR66" s="55"/>
      <c r="CS66" s="55"/>
      <c r="CT66" s="55"/>
      <c r="CU66" s="55"/>
      <c r="CV66" s="55"/>
    </row>
    <row r="67" spans="1:100" ht="15" customHeight="1" x14ac:dyDescent="0.25">
      <c r="A67" s="55"/>
      <c r="B67" s="316"/>
      <c r="C67" s="316"/>
      <c r="D67" s="317"/>
      <c r="E67" s="534"/>
      <c r="F67" s="535"/>
      <c r="G67" s="535"/>
      <c r="H67" s="535"/>
      <c r="I67" s="535"/>
      <c r="J67" s="462"/>
      <c r="K67" s="463"/>
      <c r="L67" s="463"/>
      <c r="M67" s="463"/>
      <c r="N67" s="463"/>
      <c r="O67" s="463"/>
      <c r="P67" s="463"/>
      <c r="Q67" s="463"/>
      <c r="R67" s="463"/>
      <c r="S67" s="464"/>
      <c r="T67" s="470"/>
      <c r="U67" s="468"/>
      <c r="V67" s="468"/>
      <c r="W67" s="468"/>
      <c r="X67" s="468"/>
      <c r="Y67" s="468"/>
      <c r="Z67" s="468"/>
      <c r="AA67" s="468"/>
      <c r="AB67" s="468"/>
      <c r="AC67" s="469"/>
      <c r="AD67" s="470"/>
      <c r="AE67" s="468"/>
      <c r="AF67" s="468"/>
      <c r="AG67" s="468"/>
      <c r="AH67" s="468"/>
      <c r="AI67" s="468"/>
      <c r="AJ67" s="468"/>
      <c r="AK67" s="468"/>
      <c r="AL67" s="468"/>
      <c r="AM67" s="469"/>
      <c r="AN67" s="473"/>
      <c r="AO67" s="471"/>
      <c r="AP67" s="471"/>
      <c r="AQ67" s="471"/>
      <c r="AR67" s="471"/>
      <c r="AS67" s="471"/>
      <c r="AT67" s="471"/>
      <c r="AU67" s="471"/>
      <c r="AV67" s="471"/>
      <c r="AW67" s="472"/>
      <c r="AX67" s="467"/>
      <c r="AY67" s="465"/>
      <c r="AZ67" s="465"/>
      <c r="BA67" s="465"/>
      <c r="BB67" s="465"/>
      <c r="BC67" s="465"/>
      <c r="BD67" s="465"/>
      <c r="BE67" s="465"/>
      <c r="BF67" s="465"/>
      <c r="BG67" s="466"/>
      <c r="BH67" s="55"/>
      <c r="BI67" s="517"/>
      <c r="BJ67" s="518"/>
      <c r="BK67" s="518"/>
      <c r="BL67" s="518"/>
      <c r="BM67" s="518"/>
      <c r="BN67" s="519"/>
      <c r="BO67" s="55"/>
      <c r="BP67" s="55"/>
      <c r="BQ67" s="55"/>
      <c r="BR67" s="55"/>
      <c r="BS67" s="55"/>
      <c r="BT67" s="55"/>
      <c r="BU67" s="55"/>
      <c r="BV67" s="55"/>
      <c r="BW67" s="55"/>
      <c r="BX67" s="55"/>
      <c r="BY67" s="55"/>
      <c r="BZ67" s="55"/>
      <c r="CA67" s="55"/>
      <c r="CB67" s="55"/>
      <c r="CC67" s="55"/>
      <c r="CD67" s="55"/>
      <c r="CE67" s="55"/>
      <c r="CF67" s="55"/>
      <c r="CG67" s="55"/>
      <c r="CH67" s="55"/>
      <c r="CI67" s="55"/>
      <c r="CJ67" s="55"/>
      <c r="CK67" s="55"/>
      <c r="CL67" s="55"/>
      <c r="CM67" s="55"/>
      <c r="CN67" s="55"/>
      <c r="CO67" s="55"/>
      <c r="CP67" s="55"/>
      <c r="CQ67" s="55"/>
      <c r="CR67" s="55"/>
      <c r="CS67" s="55"/>
      <c r="CT67" s="55"/>
      <c r="CU67" s="55"/>
      <c r="CV67" s="55"/>
    </row>
    <row r="68" spans="1:100" ht="15" customHeight="1" x14ac:dyDescent="0.25">
      <c r="A68" s="55"/>
      <c r="B68" s="316"/>
      <c r="C68" s="316"/>
      <c r="D68" s="317"/>
      <c r="E68" s="534"/>
      <c r="F68" s="535"/>
      <c r="G68" s="535"/>
      <c r="H68" s="535"/>
      <c r="I68" s="535"/>
      <c r="J68" s="462" t="str">
        <f>IF(AND('Mapa final'!$K$19="Baja",'Mapa final'!$O$19="Leve"),CONCATENATE("R",'Mapa final'!$A$19),"")</f>
        <v/>
      </c>
      <c r="K68" s="463"/>
      <c r="L68" s="463" t="str">
        <f>IF(AND('Mapa final'!$K$22="Baja",'Mapa final'!$O$22="Leve"),CONCATENATE("R",'Mapa final'!$A$22),"")</f>
        <v/>
      </c>
      <c r="M68" s="463"/>
      <c r="N68" s="463" t="str">
        <f>IF(AND('Mapa final'!$K$25="Baja",'Mapa final'!$O$25="Leve"),CONCATENATE("R",'Mapa final'!$A$25),"")</f>
        <v/>
      </c>
      <c r="O68" s="463"/>
      <c r="P68" s="463" t="str">
        <f>IF(AND('Mapa final'!$K$28="Baja",'Mapa final'!$O$28="Leve"),CONCATENATE("R",'Mapa final'!$A$28),"")</f>
        <v/>
      </c>
      <c r="Q68" s="463"/>
      <c r="R68" s="463" t="str">
        <f>IF(AND('Mapa final'!$K$31="Baja",'Mapa final'!$O$31="Leve"),CONCATENATE("R",'Mapa final'!$A$31),"")</f>
        <v/>
      </c>
      <c r="S68" s="464"/>
      <c r="T68" s="470" t="str">
        <f>IF(AND('Mapa final'!$K$19="Baja",'Mapa final'!$O$19="Menor"),CONCATENATE("R",'Mapa final'!$A$19),"")</f>
        <v/>
      </c>
      <c r="U68" s="468"/>
      <c r="V68" s="468" t="str">
        <f>IF(AND('Mapa final'!$K$22="Baja",'Mapa final'!$O$22="Menor"),CONCATENATE("R",'Mapa final'!$A$22),"")</f>
        <v/>
      </c>
      <c r="W68" s="468"/>
      <c r="X68" s="468" t="str">
        <f>IF(AND('Mapa final'!$K$25="Baja",'Mapa final'!$O$25="Menor"),CONCATENATE("R",'Mapa final'!$A$25),"")</f>
        <v/>
      </c>
      <c r="Y68" s="468"/>
      <c r="Z68" s="468" t="str">
        <f>IF(AND('Mapa final'!$K$28="Baja",'Mapa final'!$O$28="Menor"),CONCATENATE("R",'Mapa final'!$A$28),"")</f>
        <v/>
      </c>
      <c r="AA68" s="468"/>
      <c r="AB68" s="468" t="str">
        <f>IF(AND('Mapa final'!$K$31="Baja",'Mapa final'!$O$31="Menor"),CONCATENATE("R",'Mapa final'!$A$31),"")</f>
        <v/>
      </c>
      <c r="AC68" s="469"/>
      <c r="AD68" s="470" t="str">
        <f>IF(AND('Mapa final'!$K$19="Baja",'Mapa final'!$O$19="Moderado"),CONCATENATE("R",'Mapa final'!$A$19),"")</f>
        <v/>
      </c>
      <c r="AE68" s="468"/>
      <c r="AF68" s="468" t="str">
        <f>IF(AND('Mapa final'!$K$22="Baja",'Mapa final'!$O$22="Moderado"),CONCATENATE("R",'Mapa final'!$A$22),"")</f>
        <v/>
      </c>
      <c r="AG68" s="468"/>
      <c r="AH68" s="468" t="str">
        <f>IF(AND('Mapa final'!$K$25="Baja",'Mapa final'!$O$25="Moderado"),CONCATENATE("R",'Mapa final'!$A$25),"")</f>
        <v/>
      </c>
      <c r="AI68" s="468"/>
      <c r="AJ68" s="468" t="str">
        <f>IF(AND('Mapa final'!$K$28="Baja",'Mapa final'!$O$28="Moderado"),CONCATENATE("R",'Mapa final'!$A$28),"")</f>
        <v/>
      </c>
      <c r="AK68" s="468"/>
      <c r="AL68" s="468" t="str">
        <f>IF(AND('Mapa final'!$K$31="Baja",'Mapa final'!$O$31="Moderado"),CONCATENATE("R",'Mapa final'!$A$31),"")</f>
        <v/>
      </c>
      <c r="AM68" s="469"/>
      <c r="AN68" s="473" t="str">
        <f>IF(AND('Mapa final'!$K$19="Baja",'Mapa final'!$O$19="Mayor"),CONCATENATE("R",'Mapa final'!$A$19),"")</f>
        <v/>
      </c>
      <c r="AO68" s="471"/>
      <c r="AP68" s="471" t="str">
        <f>IF(AND('Mapa final'!$K$22="Baja",'Mapa final'!$O$22="Mayor"),CONCATENATE("R",'Mapa final'!$A$22),"")</f>
        <v/>
      </c>
      <c r="AQ68" s="471"/>
      <c r="AR68" s="471" t="str">
        <f>IF(AND('Mapa final'!$K$25="Baja",'Mapa final'!$O$25="Mayor"),CONCATENATE("R",'Mapa final'!$A$25),"")</f>
        <v/>
      </c>
      <c r="AS68" s="471"/>
      <c r="AT68" s="471" t="str">
        <f>IF(AND('Mapa final'!$K$28="Baja",'Mapa final'!$O$28="Mayor"),CONCATENATE("R",'Mapa final'!$A$28),"")</f>
        <v/>
      </c>
      <c r="AU68" s="471"/>
      <c r="AV68" s="471" t="str">
        <f>IF(AND('Mapa final'!$K$31="Baja",'Mapa final'!$O$31="Mayor"),CONCATENATE("R",'Mapa final'!$A$31),"")</f>
        <v/>
      </c>
      <c r="AW68" s="472"/>
      <c r="AX68" s="467" t="str">
        <f>IF(AND('Mapa final'!$K$19="Baja",'Mapa final'!$O$19="Catastrófico"),CONCATENATE("R",'Mapa final'!$A$19),"")</f>
        <v/>
      </c>
      <c r="AY68" s="465"/>
      <c r="AZ68" s="465" t="str">
        <f>IF(AND('Mapa final'!$K$22="Baja",'Mapa final'!$O$22="Catastrófico"),CONCATENATE("R",'Mapa final'!$A$22),"")</f>
        <v/>
      </c>
      <c r="BA68" s="465"/>
      <c r="BB68" s="465" t="str">
        <f>IF(AND('Mapa final'!$K$25="Baja",'Mapa final'!$O$25="Catastrófico"),CONCATENATE("R",'Mapa final'!$A$25),"")</f>
        <v/>
      </c>
      <c r="BC68" s="465"/>
      <c r="BD68" s="465" t="str">
        <f>IF(AND('Mapa final'!$K$28="Baja",'Mapa final'!$O$28="Catastrófico"),CONCATENATE("R",'Mapa final'!$A$28),"")</f>
        <v/>
      </c>
      <c r="BE68" s="465"/>
      <c r="BF68" s="465" t="str">
        <f>IF(AND('Mapa final'!$K$31="Baja",'Mapa final'!$O$31="Catastrófico"),CONCATENATE("R",'Mapa final'!$A$31),"")</f>
        <v/>
      </c>
      <c r="BG68" s="466"/>
      <c r="BH68" s="55"/>
      <c r="BI68" s="517"/>
      <c r="BJ68" s="518"/>
      <c r="BK68" s="518"/>
      <c r="BL68" s="518"/>
      <c r="BM68" s="518"/>
      <c r="BN68" s="519"/>
      <c r="BO68" s="55"/>
      <c r="BP68" s="55"/>
      <c r="BQ68" s="55"/>
      <c r="BR68" s="55"/>
      <c r="BS68" s="55"/>
      <c r="BT68" s="55"/>
      <c r="BU68" s="55"/>
      <c r="BV68" s="55"/>
      <c r="BW68" s="55"/>
      <c r="BX68" s="55"/>
      <c r="BY68" s="55"/>
      <c r="BZ68" s="55"/>
      <c r="CA68" s="55"/>
      <c r="CB68" s="55"/>
      <c r="CC68" s="55"/>
      <c r="CD68" s="55"/>
      <c r="CE68" s="55"/>
      <c r="CF68" s="55"/>
      <c r="CG68" s="55"/>
      <c r="CH68" s="55"/>
      <c r="CI68" s="55"/>
      <c r="CJ68" s="55"/>
      <c r="CK68" s="55"/>
      <c r="CL68" s="55"/>
      <c r="CM68" s="55"/>
      <c r="CN68" s="55"/>
      <c r="CO68" s="55"/>
      <c r="CP68" s="55"/>
      <c r="CQ68" s="55"/>
      <c r="CR68" s="55"/>
      <c r="CS68" s="55"/>
      <c r="CT68" s="55"/>
      <c r="CU68" s="55"/>
      <c r="CV68" s="55"/>
    </row>
    <row r="69" spans="1:100" ht="15" customHeight="1" x14ac:dyDescent="0.25">
      <c r="A69" s="55"/>
      <c r="B69" s="316"/>
      <c r="C69" s="316"/>
      <c r="D69" s="317"/>
      <c r="E69" s="534"/>
      <c r="F69" s="535"/>
      <c r="G69" s="535"/>
      <c r="H69" s="535"/>
      <c r="I69" s="535"/>
      <c r="J69" s="462"/>
      <c r="K69" s="463"/>
      <c r="L69" s="463"/>
      <c r="M69" s="463"/>
      <c r="N69" s="463"/>
      <c r="O69" s="463"/>
      <c r="P69" s="463"/>
      <c r="Q69" s="463"/>
      <c r="R69" s="463"/>
      <c r="S69" s="464"/>
      <c r="T69" s="470"/>
      <c r="U69" s="468"/>
      <c r="V69" s="468"/>
      <c r="W69" s="468"/>
      <c r="X69" s="468"/>
      <c r="Y69" s="468"/>
      <c r="Z69" s="468"/>
      <c r="AA69" s="468"/>
      <c r="AB69" s="468"/>
      <c r="AC69" s="469"/>
      <c r="AD69" s="470"/>
      <c r="AE69" s="468"/>
      <c r="AF69" s="468"/>
      <c r="AG69" s="468"/>
      <c r="AH69" s="468"/>
      <c r="AI69" s="468"/>
      <c r="AJ69" s="468"/>
      <c r="AK69" s="468"/>
      <c r="AL69" s="468"/>
      <c r="AM69" s="469"/>
      <c r="AN69" s="473"/>
      <c r="AO69" s="471"/>
      <c r="AP69" s="471"/>
      <c r="AQ69" s="471"/>
      <c r="AR69" s="471"/>
      <c r="AS69" s="471"/>
      <c r="AT69" s="471"/>
      <c r="AU69" s="471"/>
      <c r="AV69" s="471"/>
      <c r="AW69" s="472"/>
      <c r="AX69" s="467"/>
      <c r="AY69" s="465"/>
      <c r="AZ69" s="465"/>
      <c r="BA69" s="465"/>
      <c r="BB69" s="465"/>
      <c r="BC69" s="465"/>
      <c r="BD69" s="465"/>
      <c r="BE69" s="465"/>
      <c r="BF69" s="465"/>
      <c r="BG69" s="466"/>
      <c r="BH69" s="55"/>
      <c r="BI69" s="517"/>
      <c r="BJ69" s="518"/>
      <c r="BK69" s="518"/>
      <c r="BL69" s="518"/>
      <c r="BM69" s="518"/>
      <c r="BN69" s="519"/>
      <c r="BO69" s="55"/>
      <c r="BP69" s="55"/>
      <c r="BQ69" s="55"/>
      <c r="BR69" s="55"/>
      <c r="BS69" s="55"/>
      <c r="BT69" s="55"/>
      <c r="BU69" s="55"/>
      <c r="BV69" s="55"/>
      <c r="BW69" s="55"/>
      <c r="BX69" s="55"/>
      <c r="BY69" s="55"/>
      <c r="BZ69" s="55"/>
      <c r="CA69" s="55"/>
      <c r="CB69" s="55"/>
      <c r="CC69" s="55"/>
      <c r="CD69" s="55"/>
      <c r="CE69" s="55"/>
      <c r="CF69" s="55"/>
      <c r="CG69" s="55"/>
      <c r="CH69" s="55"/>
      <c r="CI69" s="55"/>
      <c r="CJ69" s="55"/>
      <c r="CK69" s="55"/>
      <c r="CL69" s="55"/>
      <c r="CM69" s="55"/>
      <c r="CN69" s="55"/>
      <c r="CO69" s="55"/>
      <c r="CP69" s="55"/>
      <c r="CQ69" s="55"/>
      <c r="CR69" s="55"/>
      <c r="CS69" s="55"/>
      <c r="CT69" s="55"/>
      <c r="CU69" s="55"/>
      <c r="CV69" s="55"/>
    </row>
    <row r="70" spans="1:100" ht="15" customHeight="1" x14ac:dyDescent="0.25">
      <c r="A70" s="55"/>
      <c r="B70" s="316"/>
      <c r="C70" s="316"/>
      <c r="D70" s="317"/>
      <c r="E70" s="534"/>
      <c r="F70" s="535"/>
      <c r="G70" s="535"/>
      <c r="H70" s="535"/>
      <c r="I70" s="535"/>
      <c r="J70" s="462" t="str">
        <f>IF(AND('Mapa final'!$K$34="Baja",'Mapa final'!$O$34="Leve"),CONCATENATE("R",'Mapa final'!$A$34),"")</f>
        <v/>
      </c>
      <c r="K70" s="463"/>
      <c r="L70" s="463" t="str">
        <f>IF(AND('Mapa final'!$K$37="Baja",'Mapa final'!$O$37="Leve"),CONCATENATE("R",'Mapa final'!$A$37),"")</f>
        <v/>
      </c>
      <c r="M70" s="463"/>
      <c r="N70" s="463" t="str">
        <f>IF(AND('Mapa final'!$K$40="Baja",'Mapa final'!$O$40="Leve"),CONCATENATE("R",'Mapa final'!$A$40),"")</f>
        <v/>
      </c>
      <c r="O70" s="463"/>
      <c r="P70" s="463" t="str">
        <f>IF(AND('Mapa final'!$K$43="Baja",'Mapa final'!$O$43="Leve"),CONCATENATE("R",'Mapa final'!$A$43),"")</f>
        <v/>
      </c>
      <c r="Q70" s="463"/>
      <c r="R70" s="463" t="str">
        <f>IF(AND('Mapa final'!$K$46="Baja",'Mapa final'!$O$46="Leve"),CONCATENATE("R",'Mapa final'!$A$46),"")</f>
        <v/>
      </c>
      <c r="S70" s="464"/>
      <c r="T70" s="470" t="str">
        <f>IF(AND('Mapa final'!$K$34="Baja",'Mapa final'!$O$34="Menor"),CONCATENATE("R",'Mapa final'!$A$34),"")</f>
        <v/>
      </c>
      <c r="U70" s="468"/>
      <c r="V70" s="468" t="str">
        <f>IF(AND('Mapa final'!$K$37="Baja",'Mapa final'!$O$37="Menor"),CONCATENATE("R",'Mapa final'!$A$37),"")</f>
        <v/>
      </c>
      <c r="W70" s="468"/>
      <c r="X70" s="468" t="str">
        <f>IF(AND('Mapa final'!$K$40="Baja",'Mapa final'!$O$40="Menor"),CONCATENATE("R",'Mapa final'!$A$40),"")</f>
        <v/>
      </c>
      <c r="Y70" s="468"/>
      <c r="Z70" s="468" t="str">
        <f>IF(AND('Mapa final'!$K$43="Baja",'Mapa final'!$O$43="Menor"),CONCATENATE("R",'Mapa final'!$A$43),"")</f>
        <v/>
      </c>
      <c r="AA70" s="468"/>
      <c r="AB70" s="468" t="str">
        <f>IF(AND('Mapa final'!$K$46="Baja",'Mapa final'!$O$46="Menor"),CONCATENATE("R",'Mapa final'!$A$46),"")</f>
        <v/>
      </c>
      <c r="AC70" s="469"/>
      <c r="AD70" s="470" t="str">
        <f>IF(AND('Mapa final'!$K$34="Baja",'Mapa final'!$O$34="Moderado"),CONCATENATE("R",'Mapa final'!$A$34),"")</f>
        <v/>
      </c>
      <c r="AE70" s="468"/>
      <c r="AF70" s="468" t="str">
        <f>IF(AND('Mapa final'!$K$37="Baja",'Mapa final'!$O$37="Moderado"),CONCATENATE("R",'Mapa final'!$A$37),"")</f>
        <v>R11</v>
      </c>
      <c r="AG70" s="468"/>
      <c r="AH70" s="468" t="str">
        <f>IF(AND('Mapa final'!$K$40="Baja",'Mapa final'!$O$40="Moderado"),CONCATENATE("R",'Mapa final'!$A$40),"")</f>
        <v/>
      </c>
      <c r="AI70" s="468"/>
      <c r="AJ70" s="468" t="str">
        <f>IF(AND('Mapa final'!$K$43="Baja",'Mapa final'!$O$43="Moderado"),CONCATENATE("R",'Mapa final'!$A$43),"")</f>
        <v>R13</v>
      </c>
      <c r="AK70" s="468"/>
      <c r="AL70" s="468" t="str">
        <f>IF(AND('Mapa final'!$K$46="Baja",'Mapa final'!$O$46="Moderado"),CONCATENATE("R",'Mapa final'!$A$46),"")</f>
        <v/>
      </c>
      <c r="AM70" s="469"/>
      <c r="AN70" s="473" t="str">
        <f>IF(AND('Mapa final'!$K$34="Baja",'Mapa final'!$O$34="Mayor"),CONCATENATE("R",'Mapa final'!$A$34),"")</f>
        <v>R10</v>
      </c>
      <c r="AO70" s="471"/>
      <c r="AP70" s="471" t="str">
        <f>IF(AND('Mapa final'!$K$37="Baja",'Mapa final'!$O$37="Mayor"),CONCATENATE("R",'Mapa final'!$A$37),"")</f>
        <v/>
      </c>
      <c r="AQ70" s="471"/>
      <c r="AR70" s="471" t="str">
        <f>IF(AND('Mapa final'!$K$40="Baja",'Mapa final'!$O$40="Mayor"),CONCATENATE("R",'Mapa final'!$A$40),"")</f>
        <v/>
      </c>
      <c r="AS70" s="471"/>
      <c r="AT70" s="471" t="str">
        <f>IF(AND('Mapa final'!$K$43="Baja",'Mapa final'!$O$43="Mayor"),CONCATENATE("R",'Mapa final'!$A$43),"")</f>
        <v/>
      </c>
      <c r="AU70" s="471"/>
      <c r="AV70" s="471" t="str">
        <f>IF(AND('Mapa final'!$K$46="Baja",'Mapa final'!$O$46="Mayor"),CONCATENATE("R",'Mapa final'!$A$46),"")</f>
        <v/>
      </c>
      <c r="AW70" s="472"/>
      <c r="AX70" s="467" t="str">
        <f>IF(AND('Mapa final'!$K$34="Baja",'Mapa final'!$O$34="Catastrófico"),CONCATENATE("R",'Mapa final'!$A$34),"")</f>
        <v/>
      </c>
      <c r="AY70" s="465"/>
      <c r="AZ70" s="465" t="str">
        <f>IF(AND('Mapa final'!$K$37="Baja",'Mapa final'!$O$37="Catastrófico"),CONCATENATE("R",'Mapa final'!$A$37),"")</f>
        <v/>
      </c>
      <c r="BA70" s="465"/>
      <c r="BB70" s="465" t="str">
        <f>IF(AND('Mapa final'!$K$40="Baja",'Mapa final'!$O$40="Catastrófico"),CONCATENATE("R",'Mapa final'!$A$40),"")</f>
        <v/>
      </c>
      <c r="BC70" s="465"/>
      <c r="BD70" s="465" t="str">
        <f>IF(AND('Mapa final'!$K$43="Baja",'Mapa final'!$O$43="Catastrófico"),CONCATENATE("R",'Mapa final'!$A$43),"")</f>
        <v/>
      </c>
      <c r="BE70" s="465"/>
      <c r="BF70" s="465" t="str">
        <f>IF(AND('Mapa final'!$K$46="Baja",'Mapa final'!$O$46="Catastrófico"),CONCATENATE("R",'Mapa final'!$A$46),"")</f>
        <v/>
      </c>
      <c r="BG70" s="466"/>
      <c r="BH70" s="55"/>
      <c r="BI70" s="517"/>
      <c r="BJ70" s="518"/>
      <c r="BK70" s="518"/>
      <c r="BL70" s="518"/>
      <c r="BM70" s="518"/>
      <c r="BN70" s="519"/>
      <c r="BO70" s="55"/>
      <c r="BP70" s="55"/>
      <c r="BQ70" s="55"/>
      <c r="BR70" s="55"/>
      <c r="BS70" s="55"/>
      <c r="BT70" s="55"/>
      <c r="BU70" s="55"/>
      <c r="BV70" s="55"/>
      <c r="BW70" s="55"/>
      <c r="BX70" s="55"/>
      <c r="BY70" s="55"/>
      <c r="BZ70" s="55"/>
      <c r="CA70" s="55"/>
      <c r="CB70" s="55"/>
      <c r="CC70" s="55"/>
      <c r="CD70" s="55"/>
      <c r="CE70" s="55"/>
      <c r="CF70" s="55"/>
      <c r="CG70" s="55"/>
      <c r="CH70" s="55"/>
      <c r="CI70" s="55"/>
      <c r="CJ70" s="55"/>
      <c r="CK70" s="55"/>
      <c r="CL70" s="55"/>
      <c r="CM70" s="55"/>
      <c r="CN70" s="55"/>
      <c r="CO70" s="55"/>
      <c r="CP70" s="55"/>
      <c r="CQ70" s="55"/>
      <c r="CR70" s="55"/>
      <c r="CS70" s="55"/>
      <c r="CT70" s="55"/>
      <c r="CU70" s="55"/>
      <c r="CV70" s="55"/>
    </row>
    <row r="71" spans="1:100" ht="15" customHeight="1" x14ac:dyDescent="0.25">
      <c r="A71" s="55"/>
      <c r="B71" s="316"/>
      <c r="C71" s="316"/>
      <c r="D71" s="317"/>
      <c r="E71" s="534"/>
      <c r="F71" s="535"/>
      <c r="G71" s="535"/>
      <c r="H71" s="535"/>
      <c r="I71" s="535"/>
      <c r="J71" s="462"/>
      <c r="K71" s="463"/>
      <c r="L71" s="463"/>
      <c r="M71" s="463"/>
      <c r="N71" s="463"/>
      <c r="O71" s="463"/>
      <c r="P71" s="463"/>
      <c r="Q71" s="463"/>
      <c r="R71" s="463"/>
      <c r="S71" s="464"/>
      <c r="T71" s="470"/>
      <c r="U71" s="468"/>
      <c r="V71" s="468"/>
      <c r="W71" s="468"/>
      <c r="X71" s="468"/>
      <c r="Y71" s="468"/>
      <c r="Z71" s="468"/>
      <c r="AA71" s="468"/>
      <c r="AB71" s="468"/>
      <c r="AC71" s="469"/>
      <c r="AD71" s="470"/>
      <c r="AE71" s="468"/>
      <c r="AF71" s="468"/>
      <c r="AG71" s="468"/>
      <c r="AH71" s="468"/>
      <c r="AI71" s="468"/>
      <c r="AJ71" s="468"/>
      <c r="AK71" s="468"/>
      <c r="AL71" s="468"/>
      <c r="AM71" s="469"/>
      <c r="AN71" s="473"/>
      <c r="AO71" s="471"/>
      <c r="AP71" s="471"/>
      <c r="AQ71" s="471"/>
      <c r="AR71" s="471"/>
      <c r="AS71" s="471"/>
      <c r="AT71" s="471"/>
      <c r="AU71" s="471"/>
      <c r="AV71" s="471"/>
      <c r="AW71" s="472"/>
      <c r="AX71" s="467"/>
      <c r="AY71" s="465"/>
      <c r="AZ71" s="465"/>
      <c r="BA71" s="465"/>
      <c r="BB71" s="465"/>
      <c r="BC71" s="465"/>
      <c r="BD71" s="465"/>
      <c r="BE71" s="465"/>
      <c r="BF71" s="465"/>
      <c r="BG71" s="466"/>
      <c r="BH71" s="55"/>
      <c r="BI71" s="517"/>
      <c r="BJ71" s="518"/>
      <c r="BK71" s="518"/>
      <c r="BL71" s="518"/>
      <c r="BM71" s="518"/>
      <c r="BN71" s="519"/>
      <c r="BO71" s="55"/>
      <c r="BP71" s="55"/>
      <c r="BQ71" s="55"/>
      <c r="BR71" s="55"/>
      <c r="BS71" s="55"/>
      <c r="BT71" s="55"/>
      <c r="BU71" s="55"/>
      <c r="BV71" s="55"/>
      <c r="BW71" s="55"/>
      <c r="BX71" s="55"/>
      <c r="BY71" s="55"/>
      <c r="BZ71" s="55"/>
      <c r="CA71" s="55"/>
      <c r="CB71" s="55"/>
      <c r="CC71" s="55"/>
      <c r="CD71" s="55"/>
      <c r="CE71" s="55"/>
      <c r="CF71" s="55"/>
      <c r="CG71" s="55"/>
      <c r="CH71" s="55"/>
      <c r="CI71" s="55"/>
      <c r="CJ71" s="55"/>
      <c r="CK71" s="55"/>
      <c r="CL71" s="55"/>
      <c r="CM71" s="55"/>
      <c r="CN71" s="55"/>
      <c r="CO71" s="55"/>
      <c r="CP71" s="55"/>
      <c r="CQ71" s="55"/>
      <c r="CR71" s="55"/>
      <c r="CS71" s="55"/>
      <c r="CT71" s="55"/>
      <c r="CU71" s="55"/>
      <c r="CV71" s="55"/>
    </row>
    <row r="72" spans="1:100" ht="15" customHeight="1" x14ac:dyDescent="0.25">
      <c r="A72" s="55"/>
      <c r="B72" s="316"/>
      <c r="C72" s="316"/>
      <c r="D72" s="317"/>
      <c r="E72" s="534"/>
      <c r="F72" s="535"/>
      <c r="G72" s="535"/>
      <c r="H72" s="535"/>
      <c r="I72" s="535"/>
      <c r="J72" s="462" t="str">
        <f>IF(AND('Mapa final'!$K$49="Baja",'Mapa final'!$O$49="Leve"),CONCATENATE("R",'Mapa final'!$A$49),"")</f>
        <v/>
      </c>
      <c r="K72" s="463"/>
      <c r="L72" s="463" t="str">
        <f>IF(AND('Mapa final'!$K$52="Baja",'Mapa final'!$O$52="Leve"),CONCATENATE("R",'Mapa final'!$A$52),"")</f>
        <v/>
      </c>
      <c r="M72" s="463"/>
      <c r="N72" s="463" t="str">
        <f>IF(AND('Mapa final'!$K$55="Baja",'Mapa final'!$O$55="Leve"),CONCATENATE("R",'Mapa final'!$A$55),"")</f>
        <v/>
      </c>
      <c r="O72" s="463"/>
      <c r="P72" s="463" t="str">
        <f>IF(AND('Mapa final'!$K$58="Baja",'Mapa final'!$O$58="Leve"),CONCATENATE("R",'Mapa final'!$A$58),"")</f>
        <v/>
      </c>
      <c r="Q72" s="463"/>
      <c r="R72" s="463" t="str">
        <f>IF(AND('Mapa final'!$K$61="Baja",'Mapa final'!$O$61="Leve"),CONCATENATE("R",'Mapa final'!$A$61),"")</f>
        <v/>
      </c>
      <c r="S72" s="464"/>
      <c r="T72" s="470" t="str">
        <f>IF(AND('Mapa final'!$K$49="Baja",'Mapa final'!$O$49="Menor"),CONCATENATE("R",'Mapa final'!$A$49),"")</f>
        <v/>
      </c>
      <c r="U72" s="468"/>
      <c r="V72" s="468" t="str">
        <f>IF(AND('Mapa final'!$K$52="Baja",'Mapa final'!$O$52="Menor"),CONCATENATE("R",'Mapa final'!$A$52),"")</f>
        <v/>
      </c>
      <c r="W72" s="468"/>
      <c r="X72" s="468" t="str">
        <f>IF(AND('Mapa final'!$K$55="Baja",'Mapa final'!$O$55="Menor"),CONCATENATE("R",'Mapa final'!$A$55),"")</f>
        <v/>
      </c>
      <c r="Y72" s="468"/>
      <c r="Z72" s="468" t="str">
        <f>IF(AND('Mapa final'!$K$58="Baja",'Mapa final'!$O$58="Menor"),CONCATENATE("R",'Mapa final'!$A$58),"")</f>
        <v/>
      </c>
      <c r="AA72" s="468"/>
      <c r="AB72" s="468" t="str">
        <f>IF(AND('Mapa final'!$K$61="Baja",'Mapa final'!$O$61="Menor"),CONCATENATE("R",'Mapa final'!$A$61),"")</f>
        <v/>
      </c>
      <c r="AC72" s="469"/>
      <c r="AD72" s="470" t="str">
        <f>IF(AND('Mapa final'!$K$49="Baja",'Mapa final'!$O$49="Moderado"),CONCATENATE("R",'Mapa final'!$A$49),"")</f>
        <v/>
      </c>
      <c r="AE72" s="468"/>
      <c r="AF72" s="468" t="str">
        <f>IF(AND('Mapa final'!$K$52="Baja",'Mapa final'!$O$52="Moderado"),CONCATENATE("R",'Mapa final'!$A$52),"")</f>
        <v/>
      </c>
      <c r="AG72" s="468"/>
      <c r="AH72" s="468" t="str">
        <f>IF(AND('Mapa final'!$K$55="Baja",'Mapa final'!$O$55="Moderado"),CONCATENATE("R",'Mapa final'!$A$55),"")</f>
        <v/>
      </c>
      <c r="AI72" s="468"/>
      <c r="AJ72" s="468" t="str">
        <f>IF(AND('Mapa final'!$K$58="Baja",'Mapa final'!$O$58="Moderado"),CONCATENATE("R",'Mapa final'!$A$58),"")</f>
        <v/>
      </c>
      <c r="AK72" s="468"/>
      <c r="AL72" s="468" t="str">
        <f>IF(AND('Mapa final'!$K$61="Baja",'Mapa final'!$O$61="Moderado"),CONCATENATE("R",'Mapa final'!$A$61),"")</f>
        <v/>
      </c>
      <c r="AM72" s="469"/>
      <c r="AN72" s="473" t="str">
        <f>IF(AND('Mapa final'!$K$49="Baja",'Mapa final'!$O$49="Mayor"),CONCATENATE("R",'Mapa final'!$A$49),"")</f>
        <v/>
      </c>
      <c r="AO72" s="471"/>
      <c r="AP72" s="471" t="str">
        <f>IF(AND('Mapa final'!$K$52="Baja",'Mapa final'!$O$52="Mayor"),CONCATENATE("R",'Mapa final'!$A$52),"")</f>
        <v/>
      </c>
      <c r="AQ72" s="471"/>
      <c r="AR72" s="471" t="str">
        <f>IF(AND('Mapa final'!$K$55="Baja",'Mapa final'!$O$55="Mayor"),CONCATENATE("R",'Mapa final'!$A$55),"")</f>
        <v/>
      </c>
      <c r="AS72" s="471"/>
      <c r="AT72" s="471" t="str">
        <f>IF(AND('Mapa final'!$K$58="Baja",'Mapa final'!$O$58="Mayor"),CONCATENATE("R",'Mapa final'!$A$58),"")</f>
        <v/>
      </c>
      <c r="AU72" s="471"/>
      <c r="AV72" s="471" t="str">
        <f>IF(AND('Mapa final'!$K$61="Baja",'Mapa final'!$O$61="Mayor"),CONCATENATE("R",'Mapa final'!$A$61),"")</f>
        <v/>
      </c>
      <c r="AW72" s="472"/>
      <c r="AX72" s="467" t="str">
        <f>IF(AND('Mapa final'!$K$49="Baja",'Mapa final'!$O$49="Catastrófico"),CONCATENATE("R",'Mapa final'!$A$49),"")</f>
        <v/>
      </c>
      <c r="AY72" s="465"/>
      <c r="AZ72" s="465" t="str">
        <f>IF(AND('Mapa final'!$K$52="Baja",'Mapa final'!$O$52="Catastrófico"),CONCATENATE("R",'Mapa final'!$A$52),"")</f>
        <v/>
      </c>
      <c r="BA72" s="465"/>
      <c r="BB72" s="465" t="str">
        <f>IF(AND('Mapa final'!$K$55="Baja",'Mapa final'!$O$55="Catastrófico"),CONCATENATE("R",'Mapa final'!$A$55),"")</f>
        <v/>
      </c>
      <c r="BC72" s="465"/>
      <c r="BD72" s="465" t="str">
        <f>IF(AND('Mapa final'!$K$58="Baja",'Mapa final'!$O$58="Catastrófico"),CONCATENATE("R",'Mapa final'!$A$58),"")</f>
        <v/>
      </c>
      <c r="BE72" s="465"/>
      <c r="BF72" s="465" t="str">
        <f>IF(AND('Mapa final'!$K$61="Baja",'Mapa final'!$O$61="Catastrófico"),CONCATENATE("R",'Mapa final'!$A$61),"")</f>
        <v/>
      </c>
      <c r="BG72" s="466"/>
      <c r="BH72" s="55"/>
      <c r="BI72" s="517"/>
      <c r="BJ72" s="518"/>
      <c r="BK72" s="518"/>
      <c r="BL72" s="518"/>
      <c r="BM72" s="518"/>
      <c r="BN72" s="519"/>
      <c r="BO72" s="55"/>
      <c r="BP72" s="55"/>
      <c r="BQ72" s="55"/>
      <c r="BR72" s="55"/>
      <c r="BS72" s="55"/>
      <c r="BT72" s="55"/>
      <c r="BU72" s="55"/>
      <c r="BV72" s="55"/>
      <c r="BW72" s="55"/>
      <c r="BX72" s="55"/>
      <c r="BY72" s="55"/>
      <c r="BZ72" s="55"/>
      <c r="CA72" s="55"/>
      <c r="CB72" s="55"/>
      <c r="CC72" s="55"/>
      <c r="CD72" s="55"/>
      <c r="CE72" s="55"/>
      <c r="CF72" s="55"/>
      <c r="CG72" s="55"/>
      <c r="CH72" s="55"/>
      <c r="CI72" s="55"/>
      <c r="CJ72" s="55"/>
      <c r="CK72" s="55"/>
      <c r="CL72" s="55"/>
      <c r="CM72" s="55"/>
      <c r="CN72" s="55"/>
      <c r="CO72" s="55"/>
      <c r="CP72" s="55"/>
      <c r="CQ72" s="55"/>
      <c r="CR72" s="55"/>
      <c r="CS72" s="55"/>
      <c r="CT72" s="55"/>
      <c r="CU72" s="55"/>
      <c r="CV72" s="55"/>
    </row>
    <row r="73" spans="1:100" ht="15" customHeight="1" thickBot="1" x14ac:dyDescent="0.3">
      <c r="A73" s="55"/>
      <c r="B73" s="316"/>
      <c r="C73" s="316"/>
      <c r="D73" s="317"/>
      <c r="E73" s="534"/>
      <c r="F73" s="535"/>
      <c r="G73" s="535"/>
      <c r="H73" s="535"/>
      <c r="I73" s="535"/>
      <c r="J73" s="462"/>
      <c r="K73" s="463"/>
      <c r="L73" s="463"/>
      <c r="M73" s="463"/>
      <c r="N73" s="463"/>
      <c r="O73" s="463"/>
      <c r="P73" s="463"/>
      <c r="Q73" s="463"/>
      <c r="R73" s="463"/>
      <c r="S73" s="464"/>
      <c r="T73" s="470"/>
      <c r="U73" s="468"/>
      <c r="V73" s="468"/>
      <c r="W73" s="468"/>
      <c r="X73" s="468"/>
      <c r="Y73" s="468"/>
      <c r="Z73" s="468"/>
      <c r="AA73" s="468"/>
      <c r="AB73" s="468"/>
      <c r="AC73" s="469"/>
      <c r="AD73" s="470"/>
      <c r="AE73" s="468"/>
      <c r="AF73" s="468"/>
      <c r="AG73" s="468"/>
      <c r="AH73" s="468"/>
      <c r="AI73" s="468"/>
      <c r="AJ73" s="468"/>
      <c r="AK73" s="468"/>
      <c r="AL73" s="468"/>
      <c r="AM73" s="469"/>
      <c r="AN73" s="473"/>
      <c r="AO73" s="471"/>
      <c r="AP73" s="471"/>
      <c r="AQ73" s="471"/>
      <c r="AR73" s="471"/>
      <c r="AS73" s="471"/>
      <c r="AT73" s="471"/>
      <c r="AU73" s="471"/>
      <c r="AV73" s="471"/>
      <c r="AW73" s="472"/>
      <c r="AX73" s="467"/>
      <c r="AY73" s="465"/>
      <c r="AZ73" s="465"/>
      <c r="BA73" s="465"/>
      <c r="BB73" s="465"/>
      <c r="BC73" s="465"/>
      <c r="BD73" s="465"/>
      <c r="BE73" s="465"/>
      <c r="BF73" s="465"/>
      <c r="BG73" s="466"/>
      <c r="BH73" s="55"/>
      <c r="BI73" s="520"/>
      <c r="BJ73" s="521"/>
      <c r="BK73" s="521"/>
      <c r="BL73" s="521"/>
      <c r="BM73" s="521"/>
      <c r="BN73" s="522"/>
      <c r="BO73" s="55"/>
      <c r="BP73" s="55"/>
      <c r="BQ73" s="55"/>
      <c r="BR73" s="55"/>
      <c r="BS73" s="55"/>
      <c r="BT73" s="55"/>
      <c r="BU73" s="55"/>
      <c r="BV73" s="55"/>
      <c r="BW73" s="55"/>
      <c r="BX73" s="55"/>
      <c r="BY73" s="55"/>
      <c r="BZ73" s="55"/>
      <c r="CA73" s="55"/>
      <c r="CB73" s="55"/>
      <c r="CC73" s="55"/>
      <c r="CD73" s="55"/>
      <c r="CE73" s="55"/>
      <c r="CF73" s="55"/>
      <c r="CG73" s="55"/>
      <c r="CH73" s="55"/>
      <c r="CI73" s="55"/>
      <c r="CJ73" s="55"/>
      <c r="CK73" s="55"/>
      <c r="CL73" s="55"/>
      <c r="CM73" s="55"/>
      <c r="CN73" s="55"/>
      <c r="CO73" s="55"/>
      <c r="CP73" s="55"/>
      <c r="CQ73" s="55"/>
      <c r="CR73" s="55"/>
      <c r="CS73" s="55"/>
      <c r="CT73" s="55"/>
      <c r="CU73" s="55"/>
      <c r="CV73" s="55"/>
    </row>
    <row r="74" spans="1:100" ht="15" customHeight="1" x14ac:dyDescent="0.25">
      <c r="A74" s="55"/>
      <c r="B74" s="316"/>
      <c r="C74" s="316"/>
      <c r="D74" s="317"/>
      <c r="E74" s="534"/>
      <c r="F74" s="535"/>
      <c r="G74" s="535"/>
      <c r="H74" s="535"/>
      <c r="I74" s="535"/>
      <c r="J74" s="462" t="str">
        <f>IF(AND('Mapa final'!$K$64="Baja",'Mapa final'!$O$64="Leve"),CONCATENATE("R",'Mapa final'!$A$64),"")</f>
        <v>R20</v>
      </c>
      <c r="K74" s="463"/>
      <c r="L74" s="463" t="str">
        <f>IF(AND('Mapa final'!$K$67="Baja",'Mapa final'!$O$67="Leve"),CONCATENATE("R",'Mapa final'!$A$67),"")</f>
        <v/>
      </c>
      <c r="M74" s="463"/>
      <c r="N74" s="463" t="str">
        <f>IF(AND('Mapa final'!$K$73="Baja",'Mapa final'!$O$73="Leve"),CONCATENATE("R",'Mapa final'!$A$73),"")</f>
        <v/>
      </c>
      <c r="O74" s="463"/>
      <c r="P74" s="463" t="str">
        <f>IF(AND('Mapa final'!$K$76="Baja",'Mapa final'!$O$76="Leve"),CONCATENATE("R",'Mapa final'!$A$76),"")</f>
        <v/>
      </c>
      <c r="Q74" s="463"/>
      <c r="R74" s="463" t="str">
        <f>IF(AND('Mapa final'!$K$79="Baja",'Mapa final'!$O$79="Leve"),CONCATENATE("R",'Mapa final'!$A$79),"")</f>
        <v/>
      </c>
      <c r="S74" s="464"/>
      <c r="T74" s="470" t="str">
        <f>IF(AND('Mapa final'!$K$64="Baja",'Mapa final'!$O$64="Menor"),CONCATENATE("R",'Mapa final'!$A$64),"")</f>
        <v/>
      </c>
      <c r="U74" s="468"/>
      <c r="V74" s="468" t="str">
        <f>IF(AND('Mapa final'!$K$67="Baja",'Mapa final'!$O$67="Menor"),CONCATENATE("R",'Mapa final'!$A$67),"")</f>
        <v>R21</v>
      </c>
      <c r="W74" s="468"/>
      <c r="X74" s="468" t="str">
        <f>IF(AND('Mapa final'!$K$73="Baja",'Mapa final'!$O$73="Menor"),CONCATENATE("R",'Mapa final'!$A$73),"")</f>
        <v/>
      </c>
      <c r="Y74" s="468"/>
      <c r="Z74" s="468" t="str">
        <f>IF(AND('Mapa final'!$K$76="Baja",'Mapa final'!$O$76="Menor"),CONCATENATE("R",'Mapa final'!$A$76),"")</f>
        <v/>
      </c>
      <c r="AA74" s="468"/>
      <c r="AB74" s="468" t="str">
        <f>IF(AND('Mapa final'!$K$79="Baja",'Mapa final'!$O$79="Menor"),CONCATENATE("R",'Mapa final'!$A$79),"")</f>
        <v/>
      </c>
      <c r="AC74" s="469"/>
      <c r="AD74" s="470" t="str">
        <f>IF(AND('Mapa final'!$K$64="Baja",'Mapa final'!$O$64="Moderado"),CONCATENATE("R",'Mapa final'!$A$64),"")</f>
        <v/>
      </c>
      <c r="AE74" s="468"/>
      <c r="AF74" s="468" t="str">
        <f>IF(AND('Mapa final'!$K$67="Baja",'Mapa final'!$O$67="Moderado"),CONCATENATE("R",'Mapa final'!$A$67),"")</f>
        <v/>
      </c>
      <c r="AG74" s="468"/>
      <c r="AH74" s="468" t="str">
        <f>IF(AND('Mapa final'!$K$73="Baja",'Mapa final'!$O$73="Moderado"),CONCATENATE("R",'Mapa final'!$A$73),"")</f>
        <v/>
      </c>
      <c r="AI74" s="468"/>
      <c r="AJ74" s="468" t="str">
        <f>IF(AND('Mapa final'!$K$76="Baja",'Mapa final'!$O$76="Moderado"),CONCATENATE("R",'Mapa final'!$A$76),"")</f>
        <v>R24</v>
      </c>
      <c r="AK74" s="468"/>
      <c r="AL74" s="468" t="str">
        <f>IF(AND('Mapa final'!$K$79="Baja",'Mapa final'!$O$79="Moderado"),CONCATENATE("R",'Mapa final'!$A$79),"")</f>
        <v>R25</v>
      </c>
      <c r="AM74" s="469"/>
      <c r="AN74" s="473" t="str">
        <f>IF(AND('Mapa final'!$K$64="Baja",'Mapa final'!$O$64="Mayor"),CONCATENATE("R",'Mapa final'!$A$64),"")</f>
        <v/>
      </c>
      <c r="AO74" s="471"/>
      <c r="AP74" s="471" t="str">
        <f>IF(AND('Mapa final'!$K$67="Baja",'Mapa final'!$O$67="Mayor"),CONCATENATE("R",'Mapa final'!$A$67),"")</f>
        <v/>
      </c>
      <c r="AQ74" s="471"/>
      <c r="AR74" s="471" t="str">
        <f>IF(AND('Mapa final'!$K$73="Baja",'Mapa final'!$O$73="Mayor"),CONCATENATE("R",'Mapa final'!$A$73),"")</f>
        <v/>
      </c>
      <c r="AS74" s="471"/>
      <c r="AT74" s="471" t="str">
        <f>IF(AND('Mapa final'!$K$76="Baja",'Mapa final'!$O$76="Mayor"),CONCATENATE("R",'Mapa final'!$A$76),"")</f>
        <v/>
      </c>
      <c r="AU74" s="471"/>
      <c r="AV74" s="471" t="str">
        <f>IF(AND('Mapa final'!$K$79="Baja",'Mapa final'!$O$79="Mayor"),CONCATENATE("R",'Mapa final'!$A$79),"")</f>
        <v/>
      </c>
      <c r="AW74" s="472"/>
      <c r="AX74" s="467" t="str">
        <f>IF(AND('Mapa final'!$K$64="Baja",'Mapa final'!$O$64="Catastrófico"),CONCATENATE("R",'Mapa final'!$A$64),"")</f>
        <v/>
      </c>
      <c r="AY74" s="465"/>
      <c r="AZ74" s="465" t="str">
        <f>IF(AND('Mapa final'!$K$67="Baja",'Mapa final'!$O$67="Catastrófico"),CONCATENATE("R",'Mapa final'!$A$67),"")</f>
        <v/>
      </c>
      <c r="BA74" s="465"/>
      <c r="BB74" s="465" t="str">
        <f>IF(AND('Mapa final'!$K$73="Baja",'Mapa final'!$O$73="Catastrófico"),CONCATENATE("R",'Mapa final'!$A$73),"")</f>
        <v/>
      </c>
      <c r="BC74" s="465"/>
      <c r="BD74" s="465" t="str">
        <f>IF(AND('Mapa final'!$K$76="Baja",'Mapa final'!$O$76="Catastrófico"),CONCATENATE("R",'Mapa final'!$A$76),"")</f>
        <v/>
      </c>
      <c r="BE74" s="465"/>
      <c r="BF74" s="465" t="str">
        <f>IF(AND('Mapa final'!$K$79="Baja",'Mapa final'!$O$79="Catastrófico"),CONCATENATE("R",'Mapa final'!$A$79),"")</f>
        <v/>
      </c>
      <c r="BG74" s="466"/>
      <c r="BH74" s="55"/>
      <c r="BI74" s="523" t="s">
        <v>76</v>
      </c>
      <c r="BJ74" s="524"/>
      <c r="BK74" s="524"/>
      <c r="BL74" s="524"/>
      <c r="BM74" s="524"/>
      <c r="BN74" s="525"/>
      <c r="BO74" s="55"/>
      <c r="BP74" s="55"/>
      <c r="BQ74" s="55"/>
      <c r="BR74" s="55"/>
      <c r="BS74" s="55"/>
      <c r="BT74" s="55"/>
      <c r="BU74" s="55"/>
      <c r="BV74" s="55"/>
      <c r="BW74" s="55"/>
      <c r="BX74" s="55"/>
      <c r="BY74" s="55"/>
      <c r="BZ74" s="55"/>
      <c r="CA74" s="55"/>
      <c r="CB74" s="55"/>
      <c r="CC74" s="55"/>
      <c r="CD74" s="55"/>
      <c r="CE74" s="55"/>
      <c r="CF74" s="55"/>
      <c r="CG74" s="55"/>
      <c r="CH74" s="55"/>
      <c r="CI74" s="55"/>
      <c r="CJ74" s="55"/>
      <c r="CK74" s="55"/>
      <c r="CL74" s="55"/>
      <c r="CM74" s="55"/>
      <c r="CN74" s="55"/>
      <c r="CO74" s="55"/>
      <c r="CP74" s="55"/>
      <c r="CQ74" s="55"/>
      <c r="CR74" s="55"/>
      <c r="CS74" s="55"/>
      <c r="CT74" s="55"/>
      <c r="CU74" s="55"/>
      <c r="CV74" s="55"/>
    </row>
    <row r="75" spans="1:100" ht="15" customHeight="1" x14ac:dyDescent="0.25">
      <c r="A75" s="55"/>
      <c r="B75" s="316"/>
      <c r="C75" s="316"/>
      <c r="D75" s="317"/>
      <c r="E75" s="534"/>
      <c r="F75" s="535"/>
      <c r="G75" s="535"/>
      <c r="H75" s="535"/>
      <c r="I75" s="535"/>
      <c r="J75" s="462"/>
      <c r="K75" s="463"/>
      <c r="L75" s="463"/>
      <c r="M75" s="463"/>
      <c r="N75" s="463"/>
      <c r="O75" s="463"/>
      <c r="P75" s="463"/>
      <c r="Q75" s="463"/>
      <c r="R75" s="463"/>
      <c r="S75" s="464"/>
      <c r="T75" s="470"/>
      <c r="U75" s="468"/>
      <c r="V75" s="468"/>
      <c r="W75" s="468"/>
      <c r="X75" s="468"/>
      <c r="Y75" s="468"/>
      <c r="Z75" s="468"/>
      <c r="AA75" s="468"/>
      <c r="AB75" s="468"/>
      <c r="AC75" s="469"/>
      <c r="AD75" s="470"/>
      <c r="AE75" s="468"/>
      <c r="AF75" s="468"/>
      <c r="AG75" s="468"/>
      <c r="AH75" s="468"/>
      <c r="AI75" s="468"/>
      <c r="AJ75" s="468"/>
      <c r="AK75" s="468"/>
      <c r="AL75" s="468"/>
      <c r="AM75" s="469"/>
      <c r="AN75" s="473"/>
      <c r="AO75" s="471"/>
      <c r="AP75" s="471"/>
      <c r="AQ75" s="471"/>
      <c r="AR75" s="471"/>
      <c r="AS75" s="471"/>
      <c r="AT75" s="471"/>
      <c r="AU75" s="471"/>
      <c r="AV75" s="471"/>
      <c r="AW75" s="472"/>
      <c r="AX75" s="467"/>
      <c r="AY75" s="465"/>
      <c r="AZ75" s="465"/>
      <c r="BA75" s="465"/>
      <c r="BB75" s="465"/>
      <c r="BC75" s="465"/>
      <c r="BD75" s="465"/>
      <c r="BE75" s="465"/>
      <c r="BF75" s="465"/>
      <c r="BG75" s="466"/>
      <c r="BH75" s="55"/>
      <c r="BI75" s="526"/>
      <c r="BJ75" s="527"/>
      <c r="BK75" s="527"/>
      <c r="BL75" s="527"/>
      <c r="BM75" s="527"/>
      <c r="BN75" s="528"/>
      <c r="BO75" s="55"/>
      <c r="BP75" s="55"/>
      <c r="BQ75" s="55"/>
      <c r="BR75" s="55"/>
      <c r="BS75" s="55"/>
      <c r="BT75" s="55"/>
      <c r="BU75" s="55"/>
      <c r="BV75" s="55"/>
      <c r="BW75" s="55"/>
      <c r="BX75" s="55"/>
      <c r="BY75" s="55"/>
      <c r="BZ75" s="55"/>
      <c r="CA75" s="55"/>
      <c r="CB75" s="55"/>
      <c r="CC75" s="55"/>
      <c r="CD75" s="55"/>
      <c r="CE75" s="55"/>
      <c r="CF75" s="55"/>
      <c r="CG75" s="55"/>
      <c r="CH75" s="55"/>
      <c r="CI75" s="55"/>
      <c r="CJ75" s="55"/>
      <c r="CK75" s="55"/>
      <c r="CL75" s="55"/>
      <c r="CM75" s="55"/>
      <c r="CN75" s="55"/>
      <c r="CO75" s="55"/>
      <c r="CP75" s="55"/>
      <c r="CQ75" s="55"/>
      <c r="CR75" s="55"/>
      <c r="CS75" s="55"/>
      <c r="CT75" s="55"/>
      <c r="CU75" s="55"/>
      <c r="CV75" s="55"/>
    </row>
    <row r="76" spans="1:100" ht="15" customHeight="1" x14ac:dyDescent="0.25">
      <c r="A76" s="55"/>
      <c r="B76" s="316"/>
      <c r="C76" s="316"/>
      <c r="D76" s="317"/>
      <c r="E76" s="534"/>
      <c r="F76" s="535"/>
      <c r="G76" s="535"/>
      <c r="H76" s="535"/>
      <c r="I76" s="535"/>
      <c r="J76" s="462" t="str">
        <f>IF(AND('Mapa final'!$K$82="Baja",'Mapa final'!$O$82="Leve"),CONCATENATE("R",'Mapa final'!$A$82),"")</f>
        <v/>
      </c>
      <c r="K76" s="463"/>
      <c r="L76" s="463" t="str">
        <f>IF(AND('Mapa final'!$K$85="Baja",'Mapa final'!$O$85="Leve"),CONCATENATE("R",'Mapa final'!$A$85),"")</f>
        <v/>
      </c>
      <c r="M76" s="463"/>
      <c r="N76" s="463" t="str">
        <f>IF(AND('Mapa final'!$K$88="Baja",'Mapa final'!$O$88="Leve"),CONCATENATE("R",'Mapa final'!$A$88),"")</f>
        <v/>
      </c>
      <c r="O76" s="463"/>
      <c r="P76" s="463" t="str">
        <f>IF(AND('Mapa final'!$K$91="Baja",'Mapa final'!$O$91="Leve"),CONCATENATE("R",'Mapa final'!$A$91),"")</f>
        <v/>
      </c>
      <c r="Q76" s="463"/>
      <c r="R76" s="463" t="str">
        <f>IF(AND('Mapa final'!$K$94="Baja",'Mapa final'!$O$94="Leve"),CONCATENATE("R",'Mapa final'!$A$94),"")</f>
        <v/>
      </c>
      <c r="S76" s="464"/>
      <c r="T76" s="470" t="str">
        <f>IF(AND('Mapa final'!$K$82="Baja",'Mapa final'!$O$82="Menor"),CONCATENATE("R",'Mapa final'!$A$82),"")</f>
        <v/>
      </c>
      <c r="U76" s="468"/>
      <c r="V76" s="468" t="str">
        <f>IF(AND('Mapa final'!$K$85="Baja",'Mapa final'!$O$85="Menor"),CONCATENATE("R",'Mapa final'!$A$85),"")</f>
        <v/>
      </c>
      <c r="W76" s="468"/>
      <c r="X76" s="468" t="str">
        <f>IF(AND('Mapa final'!$K$88="Baja",'Mapa final'!$O$88="Menor"),CONCATENATE("R",'Mapa final'!$A$88),"")</f>
        <v/>
      </c>
      <c r="Y76" s="468"/>
      <c r="Z76" s="468" t="str">
        <f>IF(AND('Mapa final'!$K$91="Baja",'Mapa final'!$O$91="Menor"),CONCATENATE("R",'Mapa final'!$A$91),"")</f>
        <v/>
      </c>
      <c r="AA76" s="468"/>
      <c r="AB76" s="468" t="str">
        <f>IF(AND('Mapa final'!$K$94="Baja",'Mapa final'!$O$94="Menor"),CONCATENATE("R",'Mapa final'!$A$94),"")</f>
        <v/>
      </c>
      <c r="AC76" s="469"/>
      <c r="AD76" s="470" t="str">
        <f>IF(AND('Mapa final'!$K$82="Baja",'Mapa final'!$O$82="Moderado"),CONCATENATE("R",'Mapa final'!$A$82),"")</f>
        <v/>
      </c>
      <c r="AE76" s="468"/>
      <c r="AF76" s="468" t="str">
        <f>IF(AND('Mapa final'!$K$85="Baja",'Mapa final'!$O$85="Moderado"),CONCATENATE("R",'Mapa final'!$A$85),"")</f>
        <v>R27</v>
      </c>
      <c r="AG76" s="468"/>
      <c r="AH76" s="468" t="str">
        <f>IF(AND('Mapa final'!$K$88="Baja",'Mapa final'!$O$88="Moderado"),CONCATENATE("R",'Mapa final'!$A$88),"")</f>
        <v/>
      </c>
      <c r="AI76" s="468"/>
      <c r="AJ76" s="468" t="str">
        <f>IF(AND('Mapa final'!$K$91="Baja",'Mapa final'!$O$91="Moderado"),CONCATENATE("R",'Mapa final'!$A$91),"")</f>
        <v/>
      </c>
      <c r="AK76" s="468"/>
      <c r="AL76" s="468" t="str">
        <f>IF(AND('Mapa final'!$K$94="Baja",'Mapa final'!$O$94="Moderado"),CONCATENATE("R",'Mapa final'!$A$94),"")</f>
        <v/>
      </c>
      <c r="AM76" s="469"/>
      <c r="AN76" s="473" t="str">
        <f>IF(AND('Mapa final'!$K$82="Baja",'Mapa final'!$O$82="Mayor"),CONCATENATE("R",'Mapa final'!$A$82),"")</f>
        <v/>
      </c>
      <c r="AO76" s="471"/>
      <c r="AP76" s="471" t="str">
        <f>IF(AND('Mapa final'!$K$85="Baja",'Mapa final'!$O$85="Mayor"),CONCATENATE("R",'Mapa final'!$A$85),"")</f>
        <v/>
      </c>
      <c r="AQ76" s="471"/>
      <c r="AR76" s="471" t="str">
        <f>IF(AND('Mapa final'!$K$88="Baja",'Mapa final'!$O$88="Mayor"),CONCATENATE("R",'Mapa final'!$A$88),"")</f>
        <v/>
      </c>
      <c r="AS76" s="471"/>
      <c r="AT76" s="471" t="str">
        <f>IF(AND('Mapa final'!$K$91="Baja",'Mapa final'!$O$91="Mayor"),CONCATENATE("R",'Mapa final'!$A$91),"")</f>
        <v/>
      </c>
      <c r="AU76" s="471"/>
      <c r="AV76" s="471" t="str">
        <f>IF(AND('Mapa final'!$K$94="Baja",'Mapa final'!$O$94="Mayor"),CONCATENATE("R",'Mapa final'!$A$94),"")</f>
        <v/>
      </c>
      <c r="AW76" s="472"/>
      <c r="AX76" s="467" t="str">
        <f>IF(AND('Mapa final'!$K$82="Baja",'Mapa final'!$O$82="Catastrófico"),CONCATENATE("R",'Mapa final'!$A$82),"")</f>
        <v/>
      </c>
      <c r="AY76" s="465"/>
      <c r="AZ76" s="465" t="str">
        <f>IF(AND('Mapa final'!$K$85="Baja",'Mapa final'!$O$85="Catastrófico"),CONCATENATE("R",'Mapa final'!$A$85),"")</f>
        <v/>
      </c>
      <c r="BA76" s="465"/>
      <c r="BB76" s="465" t="str">
        <f>IF(AND('Mapa final'!$K$88="Baja",'Mapa final'!$O$88="Catastrófico"),CONCATENATE("R",'Mapa final'!$A$88),"")</f>
        <v/>
      </c>
      <c r="BC76" s="465"/>
      <c r="BD76" s="465" t="str">
        <f>IF(AND('Mapa final'!$K$91="Baja",'Mapa final'!$O$91="Catastrófico"),CONCATENATE("R",'Mapa final'!$A$91),"")</f>
        <v/>
      </c>
      <c r="BE76" s="465"/>
      <c r="BF76" s="465" t="str">
        <f>IF(AND('Mapa final'!$K$94="Baja",'Mapa final'!$O$94="Catastrófico"),CONCATENATE("R",'Mapa final'!$A$94),"")</f>
        <v/>
      </c>
      <c r="BG76" s="466"/>
      <c r="BH76" s="55"/>
      <c r="BI76" s="526"/>
      <c r="BJ76" s="527"/>
      <c r="BK76" s="527"/>
      <c r="BL76" s="527"/>
      <c r="BM76" s="527"/>
      <c r="BN76" s="528"/>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c r="CR76" s="55"/>
      <c r="CS76" s="55"/>
      <c r="CT76" s="55"/>
      <c r="CU76" s="55"/>
      <c r="CV76" s="55"/>
    </row>
    <row r="77" spans="1:100" ht="15" customHeight="1" x14ac:dyDescent="0.25">
      <c r="A77" s="55"/>
      <c r="B77" s="316"/>
      <c r="C77" s="316"/>
      <c r="D77" s="317"/>
      <c r="E77" s="534"/>
      <c r="F77" s="535"/>
      <c r="G77" s="535"/>
      <c r="H77" s="535"/>
      <c r="I77" s="535"/>
      <c r="J77" s="462"/>
      <c r="K77" s="463"/>
      <c r="L77" s="463"/>
      <c r="M77" s="463"/>
      <c r="N77" s="463"/>
      <c r="O77" s="463"/>
      <c r="P77" s="463"/>
      <c r="Q77" s="463"/>
      <c r="R77" s="463"/>
      <c r="S77" s="464"/>
      <c r="T77" s="470"/>
      <c r="U77" s="468"/>
      <c r="V77" s="468"/>
      <c r="W77" s="468"/>
      <c r="X77" s="468"/>
      <c r="Y77" s="468"/>
      <c r="Z77" s="468"/>
      <c r="AA77" s="468"/>
      <c r="AB77" s="468"/>
      <c r="AC77" s="469"/>
      <c r="AD77" s="470"/>
      <c r="AE77" s="468"/>
      <c r="AF77" s="468"/>
      <c r="AG77" s="468"/>
      <c r="AH77" s="468"/>
      <c r="AI77" s="468"/>
      <c r="AJ77" s="468"/>
      <c r="AK77" s="468"/>
      <c r="AL77" s="468"/>
      <c r="AM77" s="469"/>
      <c r="AN77" s="473"/>
      <c r="AO77" s="471"/>
      <c r="AP77" s="471"/>
      <c r="AQ77" s="471"/>
      <c r="AR77" s="471"/>
      <c r="AS77" s="471"/>
      <c r="AT77" s="471"/>
      <c r="AU77" s="471"/>
      <c r="AV77" s="471"/>
      <c r="AW77" s="472"/>
      <c r="AX77" s="467"/>
      <c r="AY77" s="465"/>
      <c r="AZ77" s="465"/>
      <c r="BA77" s="465"/>
      <c r="BB77" s="465"/>
      <c r="BC77" s="465"/>
      <c r="BD77" s="465"/>
      <c r="BE77" s="465"/>
      <c r="BF77" s="465"/>
      <c r="BG77" s="466"/>
      <c r="BH77" s="55"/>
      <c r="BI77" s="526"/>
      <c r="BJ77" s="527"/>
      <c r="BK77" s="527"/>
      <c r="BL77" s="527"/>
      <c r="BM77" s="527"/>
      <c r="BN77" s="528"/>
      <c r="BO77" s="55"/>
      <c r="BP77" s="55"/>
      <c r="BQ77" s="55"/>
      <c r="BR77" s="55"/>
      <c r="BS77" s="55"/>
      <c r="BT77" s="55"/>
      <c r="BU77" s="55"/>
      <c r="BV77" s="55"/>
      <c r="BW77" s="55"/>
      <c r="BX77" s="55"/>
      <c r="BY77" s="55"/>
      <c r="BZ77" s="55"/>
      <c r="CA77" s="55"/>
      <c r="CB77" s="55"/>
      <c r="CC77" s="55"/>
      <c r="CD77" s="55"/>
      <c r="CE77" s="55"/>
      <c r="CF77" s="55"/>
      <c r="CG77" s="55"/>
      <c r="CH77" s="55"/>
      <c r="CI77" s="55"/>
      <c r="CJ77" s="55"/>
      <c r="CK77" s="55"/>
      <c r="CL77" s="55"/>
      <c r="CM77" s="55"/>
      <c r="CN77" s="55"/>
      <c r="CO77" s="55"/>
      <c r="CP77" s="55"/>
      <c r="CQ77" s="55"/>
      <c r="CR77" s="55"/>
      <c r="CS77" s="55"/>
      <c r="CT77" s="55"/>
      <c r="CU77" s="55"/>
      <c r="CV77" s="55"/>
    </row>
    <row r="78" spans="1:100" ht="15" customHeight="1" x14ac:dyDescent="0.25">
      <c r="A78" s="55"/>
      <c r="B78" s="316"/>
      <c r="C78" s="316"/>
      <c r="D78" s="317"/>
      <c r="E78" s="534"/>
      <c r="F78" s="535"/>
      <c r="G78" s="535"/>
      <c r="H78" s="535"/>
      <c r="I78" s="535"/>
      <c r="J78" s="462" t="str">
        <f>IF(AND('Mapa final'!$K$97="Baja",'Mapa final'!$O$97="Leve"),CONCATENATE("R",'Mapa final'!$A$97),"")</f>
        <v/>
      </c>
      <c r="K78" s="463"/>
      <c r="L78" s="463" t="e">
        <f>IF(AND('Mapa final'!#REF!="Baja",'Mapa final'!#REF!="Leve"),CONCATENATE("R",'Mapa final'!#REF!),"")</f>
        <v>#REF!</v>
      </c>
      <c r="M78" s="463"/>
      <c r="N78" s="463" t="str">
        <f>IF(AND('Mapa final'!$K$100="Baja",'Mapa final'!$O$100="Leve"),CONCATENATE("R",'Mapa final'!$A$100),"")</f>
        <v/>
      </c>
      <c r="O78" s="463"/>
      <c r="P78" s="463" t="str">
        <f>IF(AND('Mapa final'!$K$103="Baja",'Mapa final'!$O$103="Leve"),CONCATENATE("R",'Mapa final'!$A$103),"")</f>
        <v/>
      </c>
      <c r="Q78" s="463"/>
      <c r="R78" s="463" t="str">
        <f>IF(AND('Mapa final'!$K$106="Baja",'Mapa final'!$O$106="Leve"),CONCATENATE("R",'Mapa final'!$A$106),"")</f>
        <v/>
      </c>
      <c r="S78" s="464"/>
      <c r="T78" s="470" t="str">
        <f>IF(AND('Mapa final'!$K$97="Baja",'Mapa final'!$O$97="Menor"),CONCATENATE("R",'Mapa final'!$A$97),"")</f>
        <v/>
      </c>
      <c r="U78" s="468"/>
      <c r="V78" s="468" t="e">
        <f>IF(AND('Mapa final'!#REF!="Baja",'Mapa final'!#REF!="Menor"),CONCATENATE("R",'Mapa final'!#REF!),"")</f>
        <v>#REF!</v>
      </c>
      <c r="W78" s="468"/>
      <c r="X78" s="468" t="str">
        <f>IF(AND('Mapa final'!$K$100="Baja",'Mapa final'!$O$100="Menor"),CONCATENATE("R",'Mapa final'!$A$100),"")</f>
        <v/>
      </c>
      <c r="Y78" s="468"/>
      <c r="Z78" s="468" t="str">
        <f>IF(AND('Mapa final'!$K$103="Baja",'Mapa final'!$O$103="Menor"),CONCATENATE("R",'Mapa final'!$A$103),"")</f>
        <v/>
      </c>
      <c r="AA78" s="468"/>
      <c r="AB78" s="468" t="str">
        <f>IF(AND('Mapa final'!$K$106="Baja",'Mapa final'!$O$106="Menor"),CONCATENATE("R",'Mapa final'!$A$106),"")</f>
        <v/>
      </c>
      <c r="AC78" s="469"/>
      <c r="AD78" s="470" t="str">
        <f>IF(AND('Mapa final'!$K$97="Baja",'Mapa final'!$O$97="Moderado"),CONCATENATE("R",'Mapa final'!$A$97),"")</f>
        <v>R31</v>
      </c>
      <c r="AE78" s="468"/>
      <c r="AF78" s="468" t="e">
        <f>IF(AND('Mapa final'!#REF!="Baja",'Mapa final'!#REF!="Moderado"),CONCATENATE("R",'Mapa final'!#REF!),"")</f>
        <v>#REF!</v>
      </c>
      <c r="AG78" s="468"/>
      <c r="AH78" s="468" t="str">
        <f>IF(AND('Mapa final'!$K$100="Baja",'Mapa final'!$O$100="Moderado"),CONCATENATE("R",'Mapa final'!$A$100),"")</f>
        <v/>
      </c>
      <c r="AI78" s="468"/>
      <c r="AJ78" s="468" t="str">
        <f>IF(AND('Mapa final'!$K$103="Baja",'Mapa final'!$O$103="Moderado"),CONCATENATE("R",'Mapa final'!$A$103),"")</f>
        <v/>
      </c>
      <c r="AK78" s="468"/>
      <c r="AL78" s="468" t="str">
        <f>IF(AND('Mapa final'!$K$106="Baja",'Mapa final'!$O$106="Moderado"),CONCATENATE("R",'Mapa final'!$A$106),"")</f>
        <v/>
      </c>
      <c r="AM78" s="469"/>
      <c r="AN78" s="473" t="str">
        <f>IF(AND('Mapa final'!$K$97="Baja",'Mapa final'!$O$97="Mayor"),CONCATENATE("R",'Mapa final'!$A$97),"")</f>
        <v/>
      </c>
      <c r="AO78" s="471"/>
      <c r="AP78" s="471" t="e">
        <f>IF(AND('Mapa final'!#REF!="Baja",'Mapa final'!#REF!="Mayor"),CONCATENATE("R",'Mapa final'!#REF!),"")</f>
        <v>#REF!</v>
      </c>
      <c r="AQ78" s="471"/>
      <c r="AR78" s="471" t="str">
        <f>IF(AND('Mapa final'!$K$100="Baja",'Mapa final'!$O$100="Mayor"),CONCATENATE("R",'Mapa final'!$A$100),"")</f>
        <v/>
      </c>
      <c r="AS78" s="471"/>
      <c r="AT78" s="471" t="str">
        <f>IF(AND('Mapa final'!$K$103="Baja",'Mapa final'!$O$103="Mayor"),CONCATENATE("R",'Mapa final'!$A$103),"")</f>
        <v/>
      </c>
      <c r="AU78" s="471"/>
      <c r="AV78" s="471" t="str">
        <f>IF(AND('Mapa final'!$K$106="Baja",'Mapa final'!$O$106="Mayor"),CONCATENATE("R",'Mapa final'!$A$106),"")</f>
        <v/>
      </c>
      <c r="AW78" s="472"/>
      <c r="AX78" s="467" t="str">
        <f>IF(AND('Mapa final'!$K$97="Baja",'Mapa final'!$O$97="Catastrófico"),CONCATENATE("R",'Mapa final'!$A$97),"")</f>
        <v/>
      </c>
      <c r="AY78" s="465"/>
      <c r="AZ78" s="465" t="e">
        <f>IF(AND('Mapa final'!#REF!="Baja",'Mapa final'!#REF!="Catastrófico"),CONCATENATE("R",'Mapa final'!#REF!),"")</f>
        <v>#REF!</v>
      </c>
      <c r="BA78" s="465"/>
      <c r="BB78" s="465" t="str">
        <f>IF(AND('Mapa final'!$K$100="Baja",'Mapa final'!$O$100="Catastrófico"),CONCATENATE("R",'Mapa final'!$A$100),"")</f>
        <v/>
      </c>
      <c r="BC78" s="465"/>
      <c r="BD78" s="465" t="str">
        <f>IF(AND('Mapa final'!$K$103="Baja",'Mapa final'!$O$103="Catastrófico"),CONCATENATE("R",'Mapa final'!$A$103),"")</f>
        <v/>
      </c>
      <c r="BE78" s="465"/>
      <c r="BF78" s="465" t="str">
        <f>IF(AND('Mapa final'!$K$106="Baja",'Mapa final'!$O$106="Catastrófico"),CONCATENATE("R",'Mapa final'!$A$106),"")</f>
        <v/>
      </c>
      <c r="BG78" s="466"/>
      <c r="BH78" s="55"/>
      <c r="BI78" s="526"/>
      <c r="BJ78" s="527"/>
      <c r="BK78" s="527"/>
      <c r="BL78" s="527"/>
      <c r="BM78" s="527"/>
      <c r="BN78" s="528"/>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c r="CR78" s="55"/>
      <c r="CS78" s="55"/>
      <c r="CT78" s="55"/>
      <c r="CU78" s="55"/>
      <c r="CV78" s="55"/>
    </row>
    <row r="79" spans="1:100" ht="15" customHeight="1" x14ac:dyDescent="0.25">
      <c r="A79" s="55"/>
      <c r="B79" s="316"/>
      <c r="C79" s="316"/>
      <c r="D79" s="317"/>
      <c r="E79" s="534"/>
      <c r="F79" s="535"/>
      <c r="G79" s="535"/>
      <c r="H79" s="535"/>
      <c r="I79" s="535"/>
      <c r="J79" s="462"/>
      <c r="K79" s="463"/>
      <c r="L79" s="463"/>
      <c r="M79" s="463"/>
      <c r="N79" s="463"/>
      <c r="O79" s="463"/>
      <c r="P79" s="463"/>
      <c r="Q79" s="463"/>
      <c r="R79" s="463"/>
      <c r="S79" s="464"/>
      <c r="T79" s="470"/>
      <c r="U79" s="468"/>
      <c r="V79" s="468"/>
      <c r="W79" s="468"/>
      <c r="X79" s="468"/>
      <c r="Y79" s="468"/>
      <c r="Z79" s="468"/>
      <c r="AA79" s="468"/>
      <c r="AB79" s="468"/>
      <c r="AC79" s="469"/>
      <c r="AD79" s="470"/>
      <c r="AE79" s="468"/>
      <c r="AF79" s="468"/>
      <c r="AG79" s="468"/>
      <c r="AH79" s="468"/>
      <c r="AI79" s="468"/>
      <c r="AJ79" s="468"/>
      <c r="AK79" s="468"/>
      <c r="AL79" s="468"/>
      <c r="AM79" s="469"/>
      <c r="AN79" s="473"/>
      <c r="AO79" s="471"/>
      <c r="AP79" s="471"/>
      <c r="AQ79" s="471"/>
      <c r="AR79" s="471"/>
      <c r="AS79" s="471"/>
      <c r="AT79" s="471"/>
      <c r="AU79" s="471"/>
      <c r="AV79" s="471"/>
      <c r="AW79" s="472"/>
      <c r="AX79" s="467"/>
      <c r="AY79" s="465"/>
      <c r="AZ79" s="465"/>
      <c r="BA79" s="465"/>
      <c r="BB79" s="465"/>
      <c r="BC79" s="465"/>
      <c r="BD79" s="465"/>
      <c r="BE79" s="465"/>
      <c r="BF79" s="465"/>
      <c r="BG79" s="466"/>
      <c r="BH79" s="55"/>
      <c r="BI79" s="526"/>
      <c r="BJ79" s="527"/>
      <c r="BK79" s="527"/>
      <c r="BL79" s="527"/>
      <c r="BM79" s="527"/>
      <c r="BN79" s="528"/>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c r="CR79" s="55"/>
      <c r="CS79" s="55"/>
      <c r="CT79" s="55"/>
      <c r="CU79" s="55"/>
      <c r="CV79" s="55"/>
    </row>
    <row r="80" spans="1:100" ht="15" customHeight="1" x14ac:dyDescent="0.25">
      <c r="A80" s="55"/>
      <c r="B80" s="316"/>
      <c r="C80" s="316"/>
      <c r="D80" s="317"/>
      <c r="E80" s="534"/>
      <c r="F80" s="535"/>
      <c r="G80" s="535"/>
      <c r="H80" s="535"/>
      <c r="I80" s="535"/>
      <c r="J80" s="462" t="str">
        <f>IF(AND('Mapa final'!$K$109="Baja",'Mapa final'!$O$109="Leve"),CONCATENATE("R",'Mapa final'!$A$109),"")</f>
        <v/>
      </c>
      <c r="K80" s="463"/>
      <c r="L80" s="463" t="str">
        <f>IF(AND('Mapa final'!$K$112="Baja",'Mapa final'!$O$112="Leve"),CONCATENATE("R",'Mapa final'!$A$112),"")</f>
        <v/>
      </c>
      <c r="M80" s="463"/>
      <c r="N80" s="463" t="str">
        <f>IF(AND('Mapa final'!$K$115="Baja",'Mapa final'!$O$115="Leve"),CONCATENATE("R",'Mapa final'!$A$115),"")</f>
        <v/>
      </c>
      <c r="O80" s="463"/>
      <c r="P80" s="463" t="str">
        <f>IF(AND('Mapa final'!$K$118="Baja",'Mapa final'!$O$118="Leve"),CONCATENATE("R",'Mapa final'!$A$118),"")</f>
        <v/>
      </c>
      <c r="Q80" s="463"/>
      <c r="R80" s="463" t="str">
        <f>IF(AND('Mapa final'!$K$121="Baja",'Mapa final'!$O$121="Leve"),CONCATENATE("R",'Mapa final'!$A$121),"")</f>
        <v/>
      </c>
      <c r="S80" s="464"/>
      <c r="T80" s="470" t="str">
        <f>IF(AND('Mapa final'!$K$109="Baja",'Mapa final'!$O$109="Menor"),CONCATENATE("R",'Mapa final'!$A$109),"")</f>
        <v/>
      </c>
      <c r="U80" s="468"/>
      <c r="V80" s="468" t="str">
        <f>IF(AND('Mapa final'!$K$112="Baja",'Mapa final'!$O$112="Menor"),CONCATENATE("R",'Mapa final'!$A$112),"")</f>
        <v/>
      </c>
      <c r="W80" s="468"/>
      <c r="X80" s="468" t="str">
        <f>IF(AND('Mapa final'!$K$115="Baja",'Mapa final'!$O$115="Menor"),CONCATENATE("R",'Mapa final'!$A$115),"")</f>
        <v>R37</v>
      </c>
      <c r="Y80" s="468"/>
      <c r="Z80" s="468" t="str">
        <f>IF(AND('Mapa final'!$K$118="Baja",'Mapa final'!$O$118="Menor"),CONCATENATE("R",'Mapa final'!$A$118),"")</f>
        <v/>
      </c>
      <c r="AA80" s="468"/>
      <c r="AB80" s="468" t="str">
        <f>IF(AND('Mapa final'!$K$121="Baja",'Mapa final'!$O$121="Menor"),CONCATENATE("R",'Mapa final'!$A$121),"")</f>
        <v/>
      </c>
      <c r="AC80" s="469"/>
      <c r="AD80" s="470" t="str">
        <f>IF(AND('Mapa final'!$K$109="Baja",'Mapa final'!$O$109="Moderado"),CONCATENATE("R",'Mapa final'!$A$109),"")</f>
        <v/>
      </c>
      <c r="AE80" s="468"/>
      <c r="AF80" s="468" t="str">
        <f>IF(AND('Mapa final'!$K$112="Baja",'Mapa final'!$O$112="Moderado"),CONCATENATE("R",'Mapa final'!$A$112),"")</f>
        <v/>
      </c>
      <c r="AG80" s="468"/>
      <c r="AH80" s="468" t="str">
        <f>IF(AND('Mapa final'!$K$115="Baja",'Mapa final'!$O$115="Moderado"),CONCATENATE("R",'Mapa final'!$A$115),"")</f>
        <v/>
      </c>
      <c r="AI80" s="468"/>
      <c r="AJ80" s="468" t="str">
        <f>IF(AND('Mapa final'!$K$118="Baja",'Mapa final'!$O$118="Moderado"),CONCATENATE("R",'Mapa final'!$A$118),"")</f>
        <v/>
      </c>
      <c r="AK80" s="468"/>
      <c r="AL80" s="468" t="str">
        <f>IF(AND('Mapa final'!$K$121="Baja",'Mapa final'!$O$121="Moderado"),CONCATENATE("R",'Mapa final'!$A$121),"")</f>
        <v/>
      </c>
      <c r="AM80" s="469"/>
      <c r="AN80" s="473" t="str">
        <f>IF(AND('Mapa final'!$K$109="Baja",'Mapa final'!$O$109="Mayor"),CONCATENATE("R",'Mapa final'!$A$109),"")</f>
        <v/>
      </c>
      <c r="AO80" s="471"/>
      <c r="AP80" s="471" t="str">
        <f>IF(AND('Mapa final'!$K$112="Baja",'Mapa final'!$O$112="Mayor"),CONCATENATE("R",'Mapa final'!$A$112),"")</f>
        <v/>
      </c>
      <c r="AQ80" s="471"/>
      <c r="AR80" s="471" t="str">
        <f>IF(AND('Mapa final'!$K$115="Baja",'Mapa final'!$O$115="Mayor"),CONCATENATE("R",'Mapa final'!$A$115),"")</f>
        <v/>
      </c>
      <c r="AS80" s="471"/>
      <c r="AT80" s="471" t="str">
        <f>IF(AND('Mapa final'!$K$118="Baja",'Mapa final'!$O$118="Mayor"),CONCATENATE("R",'Mapa final'!$A$118),"")</f>
        <v/>
      </c>
      <c r="AU80" s="471"/>
      <c r="AV80" s="471" t="str">
        <f>IF(AND('Mapa final'!$K$121="Baja",'Mapa final'!$O$121="Mayor"),CONCATENATE("R",'Mapa final'!$A$121),"")</f>
        <v/>
      </c>
      <c r="AW80" s="472"/>
      <c r="AX80" s="467" t="str">
        <f>IF(AND('Mapa final'!$K$109="Baja",'Mapa final'!$O$109="Catastrófico"),CONCATENATE("R",'Mapa final'!$A$109),"")</f>
        <v/>
      </c>
      <c r="AY80" s="465"/>
      <c r="AZ80" s="465" t="str">
        <f>IF(AND('Mapa final'!$K$112="Baja",'Mapa final'!$O$112="Catastrófico"),CONCATENATE("R",'Mapa final'!$A$112),"")</f>
        <v/>
      </c>
      <c r="BA80" s="465"/>
      <c r="BB80" s="465" t="str">
        <f>IF(AND('Mapa final'!$K$115="Baja",'Mapa final'!$O$115="Catastrófico"),CONCATENATE("R",'Mapa final'!$A$115),"")</f>
        <v/>
      </c>
      <c r="BC80" s="465"/>
      <c r="BD80" s="465" t="str">
        <f>IF(AND('Mapa final'!$K$118="Baja",'Mapa final'!$O$118="Catastrófico"),CONCATENATE("R",'Mapa final'!$A$118),"")</f>
        <v/>
      </c>
      <c r="BE80" s="465"/>
      <c r="BF80" s="465" t="str">
        <f>IF(AND('Mapa final'!$K$121="Baja",'Mapa final'!$O$121="Catastrófico"),CONCATENATE("R",'Mapa final'!$A$121),"")</f>
        <v/>
      </c>
      <c r="BG80" s="466"/>
      <c r="BH80" s="55"/>
      <c r="BI80" s="526"/>
      <c r="BJ80" s="527"/>
      <c r="BK80" s="527"/>
      <c r="BL80" s="527"/>
      <c r="BM80" s="527"/>
      <c r="BN80" s="528"/>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c r="CR80" s="55"/>
      <c r="CS80" s="55"/>
      <c r="CT80" s="55"/>
      <c r="CU80" s="55"/>
      <c r="CV80" s="55"/>
    </row>
    <row r="81" spans="1:100" ht="15" customHeight="1" x14ac:dyDescent="0.25">
      <c r="A81" s="55"/>
      <c r="B81" s="316"/>
      <c r="C81" s="316"/>
      <c r="D81" s="317"/>
      <c r="E81" s="534"/>
      <c r="F81" s="535"/>
      <c r="G81" s="535"/>
      <c r="H81" s="535"/>
      <c r="I81" s="535"/>
      <c r="J81" s="462"/>
      <c r="K81" s="463"/>
      <c r="L81" s="463"/>
      <c r="M81" s="463"/>
      <c r="N81" s="463"/>
      <c r="O81" s="463"/>
      <c r="P81" s="463"/>
      <c r="Q81" s="463"/>
      <c r="R81" s="463"/>
      <c r="S81" s="464"/>
      <c r="T81" s="470"/>
      <c r="U81" s="468"/>
      <c r="V81" s="468"/>
      <c r="W81" s="468"/>
      <c r="X81" s="468"/>
      <c r="Y81" s="468"/>
      <c r="Z81" s="468"/>
      <c r="AA81" s="468"/>
      <c r="AB81" s="468"/>
      <c r="AC81" s="469"/>
      <c r="AD81" s="470"/>
      <c r="AE81" s="468"/>
      <c r="AF81" s="468"/>
      <c r="AG81" s="468"/>
      <c r="AH81" s="468"/>
      <c r="AI81" s="468"/>
      <c r="AJ81" s="468"/>
      <c r="AK81" s="468"/>
      <c r="AL81" s="468"/>
      <c r="AM81" s="469"/>
      <c r="AN81" s="473"/>
      <c r="AO81" s="471"/>
      <c r="AP81" s="471"/>
      <c r="AQ81" s="471"/>
      <c r="AR81" s="471"/>
      <c r="AS81" s="471"/>
      <c r="AT81" s="471"/>
      <c r="AU81" s="471"/>
      <c r="AV81" s="471"/>
      <c r="AW81" s="472"/>
      <c r="AX81" s="467"/>
      <c r="AY81" s="465"/>
      <c r="AZ81" s="465"/>
      <c r="BA81" s="465"/>
      <c r="BB81" s="465"/>
      <c r="BC81" s="465"/>
      <c r="BD81" s="465"/>
      <c r="BE81" s="465"/>
      <c r="BF81" s="465"/>
      <c r="BG81" s="466"/>
      <c r="BH81" s="55"/>
      <c r="BI81" s="526"/>
      <c r="BJ81" s="527"/>
      <c r="BK81" s="527"/>
      <c r="BL81" s="527"/>
      <c r="BM81" s="527"/>
      <c r="BN81" s="528"/>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c r="CR81" s="55"/>
      <c r="CS81" s="55"/>
      <c r="CT81" s="55"/>
      <c r="CU81" s="55"/>
      <c r="CV81" s="55"/>
    </row>
    <row r="82" spans="1:100" ht="15" customHeight="1" x14ac:dyDescent="0.25">
      <c r="A82" s="55"/>
      <c r="B82" s="316"/>
      <c r="C82" s="316"/>
      <c r="D82" s="317"/>
      <c r="E82" s="534"/>
      <c r="F82" s="535"/>
      <c r="G82" s="535"/>
      <c r="H82" s="535"/>
      <c r="I82" s="535"/>
      <c r="J82" s="462" t="str">
        <f>IF(AND('Mapa final'!$K$124="Baja",'Mapa final'!$O$124="Leve"),CONCATENATE("R",'Mapa final'!$A$124),"")</f>
        <v/>
      </c>
      <c r="K82" s="463"/>
      <c r="L82" s="463" t="str">
        <f>IF(AND('Mapa final'!$K$127="Baja",'Mapa final'!$O$127="Leve"),CONCATENATE("R",'Mapa final'!$A$127),"")</f>
        <v/>
      </c>
      <c r="M82" s="463"/>
      <c r="N82" s="463" t="str">
        <f>IF(AND('Mapa final'!$K$130="Baja",'Mapa final'!$O$130="Leve"),CONCATENATE("R",'Mapa final'!$A$130),"")</f>
        <v/>
      </c>
      <c r="O82" s="463"/>
      <c r="P82" s="463" t="str">
        <f>IF(AND('Mapa final'!$K$133="Baja",'Mapa final'!$O$133="Leve"),CONCATENATE("R",'Mapa final'!$A$133),"")</f>
        <v/>
      </c>
      <c r="Q82" s="463"/>
      <c r="R82" s="463" t="str">
        <f>IF(AND('Mapa final'!$K$136="Baja",'Mapa final'!$O$136="Leve"),CONCATENATE("R",'Mapa final'!$A$136),"")</f>
        <v/>
      </c>
      <c r="S82" s="464"/>
      <c r="T82" s="470" t="str">
        <f>IF(AND('Mapa final'!$K$124="Baja",'Mapa final'!$O$124="Menor"),CONCATENATE("R",'Mapa final'!$A$124),"")</f>
        <v/>
      </c>
      <c r="U82" s="468"/>
      <c r="V82" s="468" t="str">
        <f>IF(AND('Mapa final'!$K$127="Baja",'Mapa final'!$O$127="Menor"),CONCATENATE("R",'Mapa final'!$A$127),"")</f>
        <v/>
      </c>
      <c r="W82" s="468"/>
      <c r="X82" s="468" t="str">
        <f>IF(AND('Mapa final'!$K$130="Baja",'Mapa final'!$O$130="Menor"),CONCATENATE("R",'Mapa final'!$A$130),"")</f>
        <v/>
      </c>
      <c r="Y82" s="468"/>
      <c r="Z82" s="468" t="str">
        <f>IF(AND('Mapa final'!$K$133="Baja",'Mapa final'!$O$133="Menor"),CONCATENATE("R",'Mapa final'!$A$133),"")</f>
        <v/>
      </c>
      <c r="AA82" s="468"/>
      <c r="AB82" s="468" t="str">
        <f>IF(AND('Mapa final'!$K$136="Baja",'Mapa final'!$O$136="Menor"),CONCATENATE("R",'Mapa final'!$A$136),"")</f>
        <v/>
      </c>
      <c r="AC82" s="469"/>
      <c r="AD82" s="470" t="str">
        <f>IF(AND('Mapa final'!$K$124="Baja",'Mapa final'!$O$124="Moderado"),CONCATENATE("R",'Mapa final'!$A$124),"")</f>
        <v/>
      </c>
      <c r="AE82" s="468"/>
      <c r="AF82" s="468" t="str">
        <f>IF(AND('Mapa final'!$K$127="Baja",'Mapa final'!$O$127="Moderado"),CONCATENATE("R",'Mapa final'!$A$127),"")</f>
        <v>R41</v>
      </c>
      <c r="AG82" s="468"/>
      <c r="AH82" s="468" t="str">
        <f>IF(AND('Mapa final'!$K$130="Baja",'Mapa final'!$O$130="Moderado"),CONCATENATE("R",'Mapa final'!$A$130),"")</f>
        <v/>
      </c>
      <c r="AI82" s="468"/>
      <c r="AJ82" s="468" t="str">
        <f>IF(AND('Mapa final'!$K$133="Baja",'Mapa final'!$O$133="Moderado"),CONCATENATE("R",'Mapa final'!$A$133),"")</f>
        <v/>
      </c>
      <c r="AK82" s="468"/>
      <c r="AL82" s="468" t="str">
        <f>IF(AND('Mapa final'!$K$136="Baja",'Mapa final'!$O$136="Moderado"),CONCATENATE("R",'Mapa final'!$A$136),"")</f>
        <v/>
      </c>
      <c r="AM82" s="469"/>
      <c r="AN82" s="473" t="str">
        <f>IF(AND('Mapa final'!$K$124="Baja",'Mapa final'!$O$124="Mayor"),CONCATENATE("R",'Mapa final'!$A$124),"")</f>
        <v/>
      </c>
      <c r="AO82" s="471"/>
      <c r="AP82" s="471" t="str">
        <f>IF(AND('Mapa final'!$K$127="Baja",'Mapa final'!$O$127="Mayor"),CONCATENATE("R",'Mapa final'!$A$127),"")</f>
        <v/>
      </c>
      <c r="AQ82" s="471"/>
      <c r="AR82" s="471" t="str">
        <f>IF(AND('Mapa final'!$K$130="Baja",'Mapa final'!$O$130="Mayor"),CONCATENATE("R",'Mapa final'!$A$130),"")</f>
        <v/>
      </c>
      <c r="AS82" s="471"/>
      <c r="AT82" s="471" t="str">
        <f>IF(AND('Mapa final'!$K$133="Baja",'Mapa final'!$O$133="Mayor"),CONCATENATE("R",'Mapa final'!$A$133),"")</f>
        <v/>
      </c>
      <c r="AU82" s="471"/>
      <c r="AV82" s="471" t="str">
        <f>IF(AND('Mapa final'!$K$136="Baja",'Mapa final'!$O$136="Mayor"),CONCATENATE("R",'Mapa final'!$A$136),"")</f>
        <v/>
      </c>
      <c r="AW82" s="472"/>
      <c r="AX82" s="467" t="str">
        <f>IF(AND('Mapa final'!$K$124="Baja",'Mapa final'!$O$124="Catastrófico"),CONCATENATE("R",'Mapa final'!$A$124),"")</f>
        <v/>
      </c>
      <c r="AY82" s="465"/>
      <c r="AZ82" s="465" t="str">
        <f>IF(AND('Mapa final'!$K$127="Baja",'Mapa final'!$O$127="Catastrófico"),CONCATENATE("R",'Mapa final'!$A$127),"")</f>
        <v/>
      </c>
      <c r="BA82" s="465"/>
      <c r="BB82" s="465" t="str">
        <f>IF(AND('Mapa final'!$K$130="Baja",'Mapa final'!$O$130="Catastrófico"),CONCATENATE("R",'Mapa final'!$A$130),"")</f>
        <v/>
      </c>
      <c r="BC82" s="465"/>
      <c r="BD82" s="465" t="str">
        <f>IF(AND('Mapa final'!$K$133="Baja",'Mapa final'!$O$133="Catastrófico"),CONCATENATE("R",'Mapa final'!$A$133),"")</f>
        <v/>
      </c>
      <c r="BE82" s="465"/>
      <c r="BF82" s="465" t="str">
        <f>IF(AND('Mapa final'!$K$136="Baja",'Mapa final'!$O$136="Catastrófico"),CONCATENATE("R",'Mapa final'!$A$136),"")</f>
        <v/>
      </c>
      <c r="BG82" s="466"/>
      <c r="BH82" s="55"/>
      <c r="BI82" s="526"/>
      <c r="BJ82" s="527"/>
      <c r="BK82" s="527"/>
      <c r="BL82" s="527"/>
      <c r="BM82" s="527"/>
      <c r="BN82" s="528"/>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c r="CR82" s="55"/>
      <c r="CS82" s="55"/>
      <c r="CT82" s="55"/>
      <c r="CU82" s="55"/>
      <c r="CV82" s="55"/>
    </row>
    <row r="83" spans="1:100" ht="15" customHeight="1" x14ac:dyDescent="0.25">
      <c r="A83" s="55"/>
      <c r="B83" s="316"/>
      <c r="C83" s="316"/>
      <c r="D83" s="317"/>
      <c r="E83" s="534"/>
      <c r="F83" s="535"/>
      <c r="G83" s="535"/>
      <c r="H83" s="535"/>
      <c r="I83" s="535"/>
      <c r="J83" s="462"/>
      <c r="K83" s="463"/>
      <c r="L83" s="463"/>
      <c r="M83" s="463"/>
      <c r="N83" s="463"/>
      <c r="O83" s="463"/>
      <c r="P83" s="463"/>
      <c r="Q83" s="463"/>
      <c r="R83" s="463"/>
      <c r="S83" s="464"/>
      <c r="T83" s="470"/>
      <c r="U83" s="468"/>
      <c r="V83" s="468"/>
      <c r="W83" s="468"/>
      <c r="X83" s="468"/>
      <c r="Y83" s="468"/>
      <c r="Z83" s="468"/>
      <c r="AA83" s="468"/>
      <c r="AB83" s="468"/>
      <c r="AC83" s="469"/>
      <c r="AD83" s="470"/>
      <c r="AE83" s="468"/>
      <c r="AF83" s="468"/>
      <c r="AG83" s="468"/>
      <c r="AH83" s="468"/>
      <c r="AI83" s="468"/>
      <c r="AJ83" s="468"/>
      <c r="AK83" s="468"/>
      <c r="AL83" s="468"/>
      <c r="AM83" s="469"/>
      <c r="AN83" s="473"/>
      <c r="AO83" s="471"/>
      <c r="AP83" s="471"/>
      <c r="AQ83" s="471"/>
      <c r="AR83" s="471"/>
      <c r="AS83" s="471"/>
      <c r="AT83" s="471"/>
      <c r="AU83" s="471"/>
      <c r="AV83" s="471"/>
      <c r="AW83" s="472"/>
      <c r="AX83" s="467"/>
      <c r="AY83" s="465"/>
      <c r="AZ83" s="465"/>
      <c r="BA83" s="465"/>
      <c r="BB83" s="465"/>
      <c r="BC83" s="465"/>
      <c r="BD83" s="465"/>
      <c r="BE83" s="465"/>
      <c r="BF83" s="465"/>
      <c r="BG83" s="466"/>
      <c r="BH83" s="55"/>
      <c r="BI83" s="526"/>
      <c r="BJ83" s="527"/>
      <c r="BK83" s="527"/>
      <c r="BL83" s="527"/>
      <c r="BM83" s="527"/>
      <c r="BN83" s="528"/>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c r="CR83" s="55"/>
      <c r="CS83" s="55"/>
      <c r="CT83" s="55"/>
      <c r="CU83" s="55"/>
      <c r="CV83" s="55"/>
    </row>
    <row r="84" spans="1:100" ht="15" customHeight="1" x14ac:dyDescent="0.25">
      <c r="A84" s="55"/>
      <c r="B84" s="316"/>
      <c r="C84" s="316"/>
      <c r="D84" s="317"/>
      <c r="E84" s="534"/>
      <c r="F84" s="535"/>
      <c r="G84" s="535"/>
      <c r="H84" s="535"/>
      <c r="I84" s="535"/>
      <c r="J84" s="462" t="str">
        <f>IF(AND('Mapa final'!$K$139="Baja",'Mapa final'!$O$139="Leve"),CONCATENATE("R",'Mapa final'!$A$139),"")</f>
        <v/>
      </c>
      <c r="K84" s="463"/>
      <c r="L84" s="463" t="str">
        <f>IF(AND('Mapa final'!$K$142="Baja",'Mapa final'!$O$142="Leve"),CONCATENATE("R",'Mapa final'!$A$142),"")</f>
        <v/>
      </c>
      <c r="M84" s="463"/>
      <c r="N84" s="463" t="str">
        <f>IF(AND('Mapa final'!$K$145="Baja",'Mapa final'!$O$145="Leve"),CONCATENATE("R",'Mapa final'!$A$145),"")</f>
        <v/>
      </c>
      <c r="O84" s="463"/>
      <c r="P84" s="463" t="str">
        <f>IF(AND('Mapa final'!$K$148="Baja",'Mapa final'!$O$148="Leve"),CONCATENATE("R",'Mapa final'!$A$148),"")</f>
        <v/>
      </c>
      <c r="Q84" s="463"/>
      <c r="R84" s="463" t="str">
        <f>IF(AND('Mapa final'!$K$151="Baja",'Mapa final'!$O$151="Leve"),CONCATENATE("R",'Mapa final'!$A$151),"")</f>
        <v/>
      </c>
      <c r="S84" s="464"/>
      <c r="T84" s="470" t="str">
        <f>IF(AND('Mapa final'!$K$139="Baja",'Mapa final'!$O$139="Menor"),CONCATENATE("R",'Mapa final'!$A$139),"")</f>
        <v/>
      </c>
      <c r="U84" s="468"/>
      <c r="V84" s="468" t="str">
        <f>IF(AND('Mapa final'!$K$142="Baja",'Mapa final'!$O$142="Menor"),CONCATENATE("R",'Mapa final'!$A$142),"")</f>
        <v/>
      </c>
      <c r="W84" s="468"/>
      <c r="X84" s="468" t="str">
        <f>IF(AND('Mapa final'!$K$145="Baja",'Mapa final'!$O$145="Menor"),CONCATENATE("R",'Mapa final'!$A$145),"")</f>
        <v/>
      </c>
      <c r="Y84" s="468"/>
      <c r="Z84" s="468" t="str">
        <f>IF(AND('Mapa final'!$K$148="Baja",'Mapa final'!$O$148="Menor"),CONCATENATE("R",'Mapa final'!$A$148),"")</f>
        <v/>
      </c>
      <c r="AA84" s="468"/>
      <c r="AB84" s="468" t="str">
        <f>IF(AND('Mapa final'!$K$151="Baja",'Mapa final'!$O$151="Menor"),CONCATENATE("R",'Mapa final'!$A$151),"")</f>
        <v/>
      </c>
      <c r="AC84" s="469"/>
      <c r="AD84" s="470" t="str">
        <f>IF(AND('Mapa final'!$K$139="Baja",'Mapa final'!$O$139="Moderado"),CONCATENATE("R",'Mapa final'!$A$139),"")</f>
        <v/>
      </c>
      <c r="AE84" s="468"/>
      <c r="AF84" s="468" t="str">
        <f>IF(AND('Mapa final'!$K$142="Baja",'Mapa final'!$O$142="Moderado"),CONCATENATE("R",'Mapa final'!$A$142),"")</f>
        <v>R46</v>
      </c>
      <c r="AG84" s="468"/>
      <c r="AH84" s="468" t="str">
        <f>IF(AND('Mapa final'!$K$145="Baja",'Mapa final'!$O$145="Moderado"),CONCATENATE("R",'Mapa final'!$A$145),"")</f>
        <v>R47</v>
      </c>
      <c r="AI84" s="468"/>
      <c r="AJ84" s="468" t="str">
        <f>IF(AND('Mapa final'!$K$148="Baja",'Mapa final'!$O$148="Moderado"),CONCATENATE("R",'Mapa final'!$A$148),"")</f>
        <v/>
      </c>
      <c r="AK84" s="468"/>
      <c r="AL84" s="468" t="str">
        <f>IF(AND('Mapa final'!$K$151="Baja",'Mapa final'!$O$151="Moderado"),CONCATENATE("R",'Mapa final'!$A$151),"")</f>
        <v/>
      </c>
      <c r="AM84" s="469"/>
      <c r="AN84" s="473" t="str">
        <f>IF(AND('Mapa final'!$K$139="Baja",'Mapa final'!$O$139="Mayor"),CONCATENATE("R",'Mapa final'!$A$139),"")</f>
        <v>R45</v>
      </c>
      <c r="AO84" s="471"/>
      <c r="AP84" s="471" t="str">
        <f>IF(AND('Mapa final'!$K$142="Baja",'Mapa final'!$O$142="Mayor"),CONCATENATE("R",'Mapa final'!$A$142),"")</f>
        <v/>
      </c>
      <c r="AQ84" s="471"/>
      <c r="AR84" s="471" t="str">
        <f>IF(AND('Mapa final'!$K$145="Baja",'Mapa final'!$O$145="Mayor"),CONCATENATE("R",'Mapa final'!$A$145),"")</f>
        <v/>
      </c>
      <c r="AS84" s="471"/>
      <c r="AT84" s="471" t="str">
        <f>IF(AND('Mapa final'!$K$148="Baja",'Mapa final'!$O$148="Mayor"),CONCATENATE("R",'Mapa final'!$A$148),"")</f>
        <v/>
      </c>
      <c r="AU84" s="471"/>
      <c r="AV84" s="471" t="str">
        <f>IF(AND('Mapa final'!$K$151="Baja",'Mapa final'!$O$151="Mayor"),CONCATENATE("R",'Mapa final'!$A$151),"")</f>
        <v/>
      </c>
      <c r="AW84" s="472"/>
      <c r="AX84" s="467" t="str">
        <f>IF(AND('Mapa final'!$K$139="Baja",'Mapa final'!$O$139="Catastrófico"),CONCATENATE("R",'Mapa final'!$A$139),"")</f>
        <v/>
      </c>
      <c r="AY84" s="465"/>
      <c r="AZ84" s="465" t="str">
        <f>IF(AND('Mapa final'!$K$142="Baja",'Mapa final'!$O$142="Catastrófico"),CONCATENATE("R",'Mapa final'!$A$142),"")</f>
        <v/>
      </c>
      <c r="BA84" s="465"/>
      <c r="BB84" s="465" t="str">
        <f>IF(AND('Mapa final'!$K$145="Baja",'Mapa final'!$O$145="Catastrófico"),CONCATENATE("R",'Mapa final'!$A$145),"")</f>
        <v/>
      </c>
      <c r="BC84" s="465"/>
      <c r="BD84" s="465" t="str">
        <f>IF(AND('Mapa final'!$K$148="Baja",'Mapa final'!$O$148="Catastrófico"),CONCATENATE("R",'Mapa final'!$A$148),"")</f>
        <v/>
      </c>
      <c r="BE84" s="465"/>
      <c r="BF84" s="465" t="str">
        <f>IF(AND('Mapa final'!$K$151="Baja",'Mapa final'!$O$151="Catastrófico"),CONCATENATE("R",'Mapa final'!$A$151),"")</f>
        <v/>
      </c>
      <c r="BG84" s="466"/>
      <c r="BH84" s="55"/>
      <c r="BI84" s="526"/>
      <c r="BJ84" s="527"/>
      <c r="BK84" s="527"/>
      <c r="BL84" s="527"/>
      <c r="BM84" s="527"/>
      <c r="BN84" s="528"/>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c r="CR84" s="55"/>
      <c r="CS84" s="55"/>
      <c r="CT84" s="55"/>
      <c r="CU84" s="55"/>
      <c r="CV84" s="55"/>
    </row>
    <row r="85" spans="1:100" ht="15.75" customHeight="1" thickBot="1" x14ac:dyDescent="0.3">
      <c r="A85" s="55"/>
      <c r="B85" s="316"/>
      <c r="C85" s="316"/>
      <c r="D85" s="317"/>
      <c r="E85" s="536"/>
      <c r="F85" s="537"/>
      <c r="G85" s="537"/>
      <c r="H85" s="537"/>
      <c r="I85" s="537"/>
      <c r="J85" s="491"/>
      <c r="K85" s="492"/>
      <c r="L85" s="492"/>
      <c r="M85" s="492"/>
      <c r="N85" s="492"/>
      <c r="O85" s="492"/>
      <c r="P85" s="492"/>
      <c r="Q85" s="492"/>
      <c r="R85" s="492"/>
      <c r="S85" s="494"/>
      <c r="T85" s="480"/>
      <c r="U85" s="481"/>
      <c r="V85" s="481"/>
      <c r="W85" s="481"/>
      <c r="X85" s="481"/>
      <c r="Y85" s="481"/>
      <c r="Z85" s="481"/>
      <c r="AA85" s="481"/>
      <c r="AB85" s="481"/>
      <c r="AC85" s="482"/>
      <c r="AD85" s="480"/>
      <c r="AE85" s="481"/>
      <c r="AF85" s="481"/>
      <c r="AG85" s="481"/>
      <c r="AH85" s="481"/>
      <c r="AI85" s="481"/>
      <c r="AJ85" s="481"/>
      <c r="AK85" s="481"/>
      <c r="AL85" s="481"/>
      <c r="AM85" s="482"/>
      <c r="AN85" s="474"/>
      <c r="AO85" s="475"/>
      <c r="AP85" s="475"/>
      <c r="AQ85" s="475"/>
      <c r="AR85" s="475"/>
      <c r="AS85" s="475"/>
      <c r="AT85" s="475"/>
      <c r="AU85" s="475"/>
      <c r="AV85" s="475"/>
      <c r="AW85" s="476"/>
      <c r="AX85" s="487"/>
      <c r="AY85" s="486"/>
      <c r="AZ85" s="486"/>
      <c r="BA85" s="486"/>
      <c r="BB85" s="486"/>
      <c r="BC85" s="486"/>
      <c r="BD85" s="486"/>
      <c r="BE85" s="486"/>
      <c r="BF85" s="486"/>
      <c r="BG85" s="488"/>
      <c r="BH85" s="55"/>
      <c r="BI85" s="526"/>
      <c r="BJ85" s="527"/>
      <c r="BK85" s="527"/>
      <c r="BL85" s="527"/>
      <c r="BM85" s="527"/>
      <c r="BN85" s="528"/>
      <c r="BO85" s="55"/>
      <c r="BP85" s="55"/>
      <c r="BQ85" s="55"/>
      <c r="BR85" s="55"/>
      <c r="BS85" s="55"/>
      <c r="BT85" s="55"/>
      <c r="BU85" s="55"/>
      <c r="BV85" s="55"/>
      <c r="BW85" s="55"/>
      <c r="BX85" s="55"/>
      <c r="BY85" s="55"/>
      <c r="BZ85" s="55"/>
      <c r="CA85" s="55"/>
      <c r="CB85" s="55"/>
      <c r="CC85" s="55"/>
      <c r="CD85" s="55"/>
      <c r="CE85" s="55"/>
      <c r="CF85" s="55"/>
      <c r="CG85" s="55"/>
      <c r="CH85" s="55"/>
      <c r="CI85" s="55"/>
      <c r="CJ85" s="55"/>
      <c r="CK85" s="55"/>
      <c r="CL85" s="55"/>
      <c r="CM85" s="55"/>
      <c r="CN85" s="55"/>
      <c r="CO85" s="55"/>
      <c r="CP85" s="55"/>
      <c r="CQ85" s="55"/>
      <c r="CR85" s="55"/>
      <c r="CS85" s="55"/>
      <c r="CT85" s="55"/>
      <c r="CU85" s="55"/>
      <c r="CV85" s="55"/>
    </row>
    <row r="86" spans="1:100" ht="15" customHeight="1" x14ac:dyDescent="0.25">
      <c r="A86" s="55"/>
      <c r="B86" s="316"/>
      <c r="C86" s="316"/>
      <c r="D86" s="317"/>
      <c r="E86" s="532" t="s">
        <v>104</v>
      </c>
      <c r="F86" s="533"/>
      <c r="G86" s="533"/>
      <c r="H86" s="533"/>
      <c r="I86" s="538"/>
      <c r="J86" s="546" t="str">
        <f>IF(AND('Mapa final'!$K$7="Muy Baja",'Mapa final'!$O$7="Leve"),CONCATENATE("R",'Mapa final'!$A$7),"")</f>
        <v/>
      </c>
      <c r="K86" s="493"/>
      <c r="L86" s="493" t="str">
        <f>IF(AND('Mapa final'!$K$10="Muy Baja",'Mapa final'!$O$10="Leve"),CONCATENATE("R",'Mapa final'!$A$10),"")</f>
        <v/>
      </c>
      <c r="M86" s="493"/>
      <c r="N86" s="493" t="str">
        <f>IF(AND('Mapa final'!$K$13="Muy Baja",'Mapa final'!$O$13="Leve"),CONCATENATE("R",'Mapa final'!$A$13),"")</f>
        <v/>
      </c>
      <c r="O86" s="493"/>
      <c r="P86" s="493" t="e">
        <f>IF(AND('Mapa final'!#REF!="Muy Baja",'Mapa final'!#REF!="Leve"),CONCATENATE("R",'Mapa final'!#REF!),"")</f>
        <v>#REF!</v>
      </c>
      <c r="Q86" s="493"/>
      <c r="R86" s="493" t="str">
        <f>IF(AND('Mapa final'!$K$16="Muy Baja",'Mapa final'!$O$16="Leve"),CONCATENATE("R",'Mapa final'!$A$16),"")</f>
        <v/>
      </c>
      <c r="S86" s="495"/>
      <c r="T86" s="546" t="str">
        <f>IF(AND('Mapa final'!$K$7="Muy Baja",'Mapa final'!$O$7="Menor"),CONCATENATE("R",'Mapa final'!$A$7),"")</f>
        <v/>
      </c>
      <c r="U86" s="493"/>
      <c r="V86" s="493" t="str">
        <f>IF(AND('Mapa final'!$K$10="Muy Baja",'Mapa final'!$O$10="Menor"),CONCATENATE("R",'Mapa final'!$A$10),"")</f>
        <v/>
      </c>
      <c r="W86" s="493"/>
      <c r="X86" s="493" t="str">
        <f>IF(AND('Mapa final'!$K$13="Muy Baja",'Mapa final'!$O$13="Menor"),CONCATENATE("R",'Mapa final'!$A$13),"")</f>
        <v/>
      </c>
      <c r="Y86" s="493"/>
      <c r="Z86" s="493" t="e">
        <f>IF(AND('Mapa final'!#REF!="Muy Baja",'Mapa final'!#REF!="Menor"),CONCATENATE("R",'Mapa final'!#REF!),"")</f>
        <v>#REF!</v>
      </c>
      <c r="AA86" s="493"/>
      <c r="AB86" s="493" t="str">
        <f>IF(AND('Mapa final'!$K$16="Muy Baja",'Mapa final'!$O$16="Menor"),CONCATENATE("R",'Mapa final'!$A$16),"")</f>
        <v/>
      </c>
      <c r="AC86" s="495"/>
      <c r="AD86" s="477" t="str">
        <f>IF(AND('Mapa final'!$K$7="Muy Baja",'Mapa final'!$O$7="Moderado"),CONCATENATE("R",'Mapa final'!$A$7),"")</f>
        <v/>
      </c>
      <c r="AE86" s="478"/>
      <c r="AF86" s="478" t="str">
        <f>IF(AND('Mapa final'!$K$10="Muy Baja",'Mapa final'!$O$10="Moderado"),CONCATENATE("R",'Mapa final'!$A$10),"")</f>
        <v/>
      </c>
      <c r="AG86" s="478"/>
      <c r="AH86" s="478" t="str">
        <f>IF(AND('Mapa final'!$K$13="Muy Baja",'Mapa final'!$O$13="Moderado"),CONCATENATE("R",'Mapa final'!$A$13),"")</f>
        <v/>
      </c>
      <c r="AI86" s="478"/>
      <c r="AJ86" s="478" t="e">
        <f>IF(AND('Mapa final'!#REF!="Muy Baja",'Mapa final'!#REF!="Moderado"),CONCATENATE("R",'Mapa final'!#REF!),"")</f>
        <v>#REF!</v>
      </c>
      <c r="AK86" s="478"/>
      <c r="AL86" s="478" t="str">
        <f>IF(AND('Mapa final'!$K$16="Muy Baja",'Mapa final'!$O$16="Moderado"),CONCATENATE("R",'Mapa final'!$A$16),"")</f>
        <v/>
      </c>
      <c r="AM86" s="479"/>
      <c r="AN86" s="483" t="str">
        <f>IF(AND('Mapa final'!$K$7="Muy Baja",'Mapa final'!$O$7="Mayor"),CONCATENATE("R",'Mapa final'!$A$7),"")</f>
        <v/>
      </c>
      <c r="AO86" s="484"/>
      <c r="AP86" s="484" t="str">
        <f>IF(AND('Mapa final'!$K$10="Muy Baja",'Mapa final'!$O$10="Mayor"),CONCATENATE("R",'Mapa final'!$A$10),"")</f>
        <v/>
      </c>
      <c r="AQ86" s="484"/>
      <c r="AR86" s="484" t="str">
        <f>IF(AND('Mapa final'!$K$13="Muy Baja",'Mapa final'!$O$13="Mayor"),CONCATENATE("R",'Mapa final'!$A$13),"")</f>
        <v/>
      </c>
      <c r="AS86" s="484"/>
      <c r="AT86" s="484" t="e">
        <f>IF(AND('Mapa final'!#REF!="Muy Baja",'Mapa final'!#REF!="Mayor"),CONCATENATE("R",'Mapa final'!#REF!),"")</f>
        <v>#REF!</v>
      </c>
      <c r="AU86" s="484"/>
      <c r="AV86" s="484" t="str">
        <f>IF(AND('Mapa final'!$K$16="Muy Baja",'Mapa final'!$O$16="Mayor"),CONCATENATE("R",'Mapa final'!$A$16),"")</f>
        <v/>
      </c>
      <c r="AW86" s="485"/>
      <c r="AX86" s="490" t="str">
        <f>IF(AND('Mapa final'!$K$7="Muy Baja",'Mapa final'!$O$7="Catastrófico"),CONCATENATE("R",'Mapa final'!$A$7),"")</f>
        <v/>
      </c>
      <c r="AY86" s="489"/>
      <c r="AZ86" s="489" t="str">
        <f>IF(AND('Mapa final'!$K$10="Muy Baja",'Mapa final'!$O$10="Catastrófico"),CONCATENATE("R",'Mapa final'!$A$10),"")</f>
        <v/>
      </c>
      <c r="BA86" s="489"/>
      <c r="BB86" s="489" t="str">
        <f>IF(AND('Mapa final'!$K$13="Muy Baja",'Mapa final'!$O$13="Catastrófico"),CONCATENATE("R",'Mapa final'!$A$13),"")</f>
        <v/>
      </c>
      <c r="BC86" s="489"/>
      <c r="BD86" s="489" t="e">
        <f>IF(AND('Mapa final'!#REF!="Muy Baja",'Mapa final'!#REF!="Catastrófico"),CONCATENATE("R",'Mapa final'!#REF!),"")</f>
        <v>#REF!</v>
      </c>
      <c r="BE86" s="489"/>
      <c r="BF86" s="489" t="str">
        <f>IF(AND('Mapa final'!$K$16="Muy Baja",'Mapa final'!$O$16="Catastrófico"),CONCATENATE("R",'Mapa final'!$A$16),"")</f>
        <v/>
      </c>
      <c r="BG86" s="545"/>
      <c r="BH86" s="55"/>
      <c r="BI86" s="526"/>
      <c r="BJ86" s="527"/>
      <c r="BK86" s="527"/>
      <c r="BL86" s="527"/>
      <c r="BM86" s="527"/>
      <c r="BN86" s="528"/>
      <c r="BO86" s="55"/>
      <c r="BP86" s="55"/>
      <c r="BQ86" s="55"/>
      <c r="BR86" s="55"/>
      <c r="BS86" s="55"/>
      <c r="BT86" s="55"/>
      <c r="BU86" s="55"/>
      <c r="BV86" s="55"/>
      <c r="BW86" s="55"/>
      <c r="BX86" s="55"/>
      <c r="BY86" s="55"/>
      <c r="BZ86" s="55"/>
      <c r="CA86" s="55"/>
      <c r="CB86" s="55"/>
      <c r="CC86" s="55"/>
      <c r="CD86" s="55"/>
      <c r="CE86" s="55"/>
      <c r="CF86" s="55"/>
      <c r="CG86" s="55"/>
      <c r="CH86" s="55"/>
      <c r="CI86" s="55"/>
      <c r="CJ86" s="55"/>
      <c r="CK86" s="55"/>
      <c r="CL86" s="55"/>
      <c r="CM86" s="55"/>
      <c r="CN86" s="55"/>
      <c r="CO86" s="55"/>
      <c r="CP86" s="55"/>
      <c r="CQ86" s="55"/>
      <c r="CR86" s="55"/>
      <c r="CS86" s="55"/>
      <c r="CT86" s="55"/>
      <c r="CU86" s="55"/>
      <c r="CV86" s="55"/>
    </row>
    <row r="87" spans="1:100" ht="15" customHeight="1" x14ac:dyDescent="0.25">
      <c r="A87" s="55"/>
      <c r="B87" s="316"/>
      <c r="C87" s="316"/>
      <c r="D87" s="317"/>
      <c r="E87" s="534"/>
      <c r="F87" s="535"/>
      <c r="G87" s="535"/>
      <c r="H87" s="535"/>
      <c r="I87" s="539"/>
      <c r="J87" s="462"/>
      <c r="K87" s="463"/>
      <c r="L87" s="463"/>
      <c r="M87" s="463"/>
      <c r="N87" s="463"/>
      <c r="O87" s="463"/>
      <c r="P87" s="463"/>
      <c r="Q87" s="463"/>
      <c r="R87" s="463"/>
      <c r="S87" s="464"/>
      <c r="T87" s="462"/>
      <c r="U87" s="463"/>
      <c r="V87" s="463"/>
      <c r="W87" s="463"/>
      <c r="X87" s="463"/>
      <c r="Y87" s="463"/>
      <c r="Z87" s="463"/>
      <c r="AA87" s="463"/>
      <c r="AB87" s="463"/>
      <c r="AC87" s="464"/>
      <c r="AD87" s="470"/>
      <c r="AE87" s="468"/>
      <c r="AF87" s="468"/>
      <c r="AG87" s="468"/>
      <c r="AH87" s="468"/>
      <c r="AI87" s="468"/>
      <c r="AJ87" s="468"/>
      <c r="AK87" s="468"/>
      <c r="AL87" s="468"/>
      <c r="AM87" s="469"/>
      <c r="AN87" s="473"/>
      <c r="AO87" s="471"/>
      <c r="AP87" s="471"/>
      <c r="AQ87" s="471"/>
      <c r="AR87" s="471"/>
      <c r="AS87" s="471"/>
      <c r="AT87" s="471"/>
      <c r="AU87" s="471"/>
      <c r="AV87" s="471"/>
      <c r="AW87" s="472"/>
      <c r="AX87" s="467"/>
      <c r="AY87" s="465"/>
      <c r="AZ87" s="465"/>
      <c r="BA87" s="465"/>
      <c r="BB87" s="465"/>
      <c r="BC87" s="465"/>
      <c r="BD87" s="465"/>
      <c r="BE87" s="465"/>
      <c r="BF87" s="465"/>
      <c r="BG87" s="466"/>
      <c r="BH87" s="55"/>
      <c r="BI87" s="526"/>
      <c r="BJ87" s="527"/>
      <c r="BK87" s="527"/>
      <c r="BL87" s="527"/>
      <c r="BM87" s="527"/>
      <c r="BN87" s="528"/>
      <c r="BO87" s="55"/>
      <c r="BP87" s="55"/>
      <c r="BQ87" s="55"/>
      <c r="BR87" s="55"/>
      <c r="BS87" s="55"/>
      <c r="BT87" s="55"/>
      <c r="BU87" s="55"/>
      <c r="BV87" s="55"/>
      <c r="BW87" s="55"/>
      <c r="BX87" s="55"/>
      <c r="BY87" s="55"/>
      <c r="BZ87" s="55"/>
      <c r="CA87" s="55"/>
      <c r="CB87" s="55"/>
      <c r="CC87" s="55"/>
      <c r="CD87" s="55"/>
      <c r="CE87" s="55"/>
      <c r="CF87" s="55"/>
      <c r="CG87" s="55"/>
      <c r="CH87" s="55"/>
      <c r="CI87" s="55"/>
      <c r="CJ87" s="55"/>
      <c r="CK87" s="55"/>
      <c r="CL87" s="55"/>
      <c r="CM87" s="55"/>
      <c r="CN87" s="55"/>
      <c r="CO87" s="55"/>
      <c r="CP87" s="55"/>
      <c r="CQ87" s="55"/>
      <c r="CR87" s="55"/>
      <c r="CS87" s="55"/>
      <c r="CT87" s="55"/>
      <c r="CU87" s="55"/>
      <c r="CV87" s="55"/>
    </row>
    <row r="88" spans="1:100" ht="15" customHeight="1" x14ac:dyDescent="0.25">
      <c r="A88" s="55"/>
      <c r="B88" s="316"/>
      <c r="C88" s="316"/>
      <c r="D88" s="317"/>
      <c r="E88" s="534"/>
      <c r="F88" s="535"/>
      <c r="G88" s="535"/>
      <c r="H88" s="535"/>
      <c r="I88" s="539"/>
      <c r="J88" s="462" t="str">
        <f>IF(AND('Mapa final'!$K$19="Muy Baja",'Mapa final'!$O$19="Leve"),CONCATENATE("R",'Mapa final'!$A$19),"")</f>
        <v/>
      </c>
      <c r="K88" s="463"/>
      <c r="L88" s="463" t="str">
        <f>IF(AND('Mapa final'!$K$22="Muy Baja",'Mapa final'!$O$22="Leve"),CONCATENATE("R",'Mapa final'!$A$22),"")</f>
        <v/>
      </c>
      <c r="M88" s="463"/>
      <c r="N88" s="463" t="str">
        <f>IF(AND('Mapa final'!$K$25="Muy Baja",'Mapa final'!$O$25="Leve"),CONCATENATE("R",'Mapa final'!$A$25),"")</f>
        <v/>
      </c>
      <c r="O88" s="463"/>
      <c r="P88" s="463" t="str">
        <f>IF(AND('Mapa final'!$K$28="Muy Baja",'Mapa final'!$O$28="Leve"),CONCATENATE("R",'Mapa final'!$A$28),"")</f>
        <v/>
      </c>
      <c r="Q88" s="463"/>
      <c r="R88" s="463" t="str">
        <f>IF(AND('Mapa final'!$K$31="Muy Baja",'Mapa final'!$O$31="Leve"),CONCATENATE("R",'Mapa final'!$A$31),"")</f>
        <v/>
      </c>
      <c r="S88" s="464"/>
      <c r="T88" s="462" t="str">
        <f>IF(AND('Mapa final'!$K$19="Muy Baja",'Mapa final'!$O$19="Menor"),CONCATENATE("R",'Mapa final'!$A$19),"")</f>
        <v/>
      </c>
      <c r="U88" s="463"/>
      <c r="V88" s="463" t="str">
        <f>IF(AND('Mapa final'!$K$22="Muy Baja",'Mapa final'!$O$22="Menor"),CONCATENATE("R",'Mapa final'!$A$22),"")</f>
        <v/>
      </c>
      <c r="W88" s="463"/>
      <c r="X88" s="463" t="str">
        <f>IF(AND('Mapa final'!$K$25="Muy Baja",'Mapa final'!$O$25="Menor"),CONCATENATE("R",'Mapa final'!$A$25),"")</f>
        <v/>
      </c>
      <c r="Y88" s="463"/>
      <c r="Z88" s="463" t="str">
        <f>IF(AND('Mapa final'!$K$28="Muy Baja",'Mapa final'!$O$28="Menor"),CONCATENATE("R",'Mapa final'!$A$28),"")</f>
        <v/>
      </c>
      <c r="AA88" s="463"/>
      <c r="AB88" s="463" t="str">
        <f>IF(AND('Mapa final'!$K$31="Muy Baja",'Mapa final'!$O$31="Menor"),CONCATENATE("R",'Mapa final'!$A$31),"")</f>
        <v/>
      </c>
      <c r="AC88" s="464"/>
      <c r="AD88" s="470" t="str">
        <f>IF(AND('Mapa final'!$K$19="Muy Baja",'Mapa final'!$O$19="Moderado"),CONCATENATE("R",'Mapa final'!$A$19),"")</f>
        <v>R5</v>
      </c>
      <c r="AE88" s="468"/>
      <c r="AF88" s="468" t="str">
        <f>IF(AND('Mapa final'!$K$22="Muy Baja",'Mapa final'!$O$22="Moderado"),CONCATENATE("R",'Mapa final'!$A$22),"")</f>
        <v>R6</v>
      </c>
      <c r="AG88" s="468"/>
      <c r="AH88" s="468" t="str">
        <f>IF(AND('Mapa final'!$K$25="Muy Baja",'Mapa final'!$O$25="Moderado"),CONCATENATE("R",'Mapa final'!$A$25),"")</f>
        <v/>
      </c>
      <c r="AI88" s="468"/>
      <c r="AJ88" s="468" t="str">
        <f>IF(AND('Mapa final'!$K$28="Muy Baja",'Mapa final'!$O$28="Moderado"),CONCATENATE("R",'Mapa final'!$A$28),"")</f>
        <v/>
      </c>
      <c r="AK88" s="468"/>
      <c r="AL88" s="468" t="str">
        <f>IF(AND('Mapa final'!$K$31="Muy Baja",'Mapa final'!$O$31="Moderado"),CONCATENATE("R",'Mapa final'!$A$31),"")</f>
        <v/>
      </c>
      <c r="AM88" s="469"/>
      <c r="AN88" s="473" t="str">
        <f>IF(AND('Mapa final'!$K$19="Muy Baja",'Mapa final'!$O$19="Mayor"),CONCATENATE("R",'Mapa final'!$A$19),"")</f>
        <v/>
      </c>
      <c r="AO88" s="471"/>
      <c r="AP88" s="471" t="str">
        <f>IF(AND('Mapa final'!$K$22="Muy Baja",'Mapa final'!$O$22="Mayor"),CONCATENATE("R",'Mapa final'!$A$22),"")</f>
        <v/>
      </c>
      <c r="AQ88" s="471"/>
      <c r="AR88" s="471" t="str">
        <f>IF(AND('Mapa final'!$K$25="Muy Baja",'Mapa final'!$O$25="Mayor"),CONCATENATE("R",'Mapa final'!$A$25),"")</f>
        <v/>
      </c>
      <c r="AS88" s="471"/>
      <c r="AT88" s="471" t="str">
        <f>IF(AND('Mapa final'!$K$28="Muy Baja",'Mapa final'!$O$28="Mayor"),CONCATENATE("R",'Mapa final'!$A$28),"")</f>
        <v/>
      </c>
      <c r="AU88" s="471"/>
      <c r="AV88" s="471" t="str">
        <f>IF(AND('Mapa final'!$K$31="Muy Baja",'Mapa final'!$O$31="Mayor"),CONCATENATE("R",'Mapa final'!$A$31),"")</f>
        <v/>
      </c>
      <c r="AW88" s="472"/>
      <c r="AX88" s="467" t="str">
        <f>IF(AND('Mapa final'!$K$19="Muy Baja",'Mapa final'!$O$19="Catastrófico"),CONCATENATE("R",'Mapa final'!$A$19),"")</f>
        <v/>
      </c>
      <c r="AY88" s="465"/>
      <c r="AZ88" s="465" t="str">
        <f>IF(AND('Mapa final'!$K$22="Muy Baja",'Mapa final'!$O$22="Catastrófico"),CONCATENATE("R",'Mapa final'!$A$22),"")</f>
        <v/>
      </c>
      <c r="BA88" s="465"/>
      <c r="BB88" s="465" t="str">
        <f>IF(AND('Mapa final'!$K$25="Muy Baja",'Mapa final'!$O$25="Catastrófico"),CONCATENATE("R",'Mapa final'!$A$25),"")</f>
        <v/>
      </c>
      <c r="BC88" s="465"/>
      <c r="BD88" s="465" t="str">
        <f>IF(AND('Mapa final'!$K$28="Muy Baja",'Mapa final'!$O$28="Catastrófico"),CONCATENATE("R",'Mapa final'!$A$28),"")</f>
        <v/>
      </c>
      <c r="BE88" s="465"/>
      <c r="BF88" s="465" t="str">
        <f>IF(AND('Mapa final'!$K$31="Muy Baja",'Mapa final'!$O$31="Catastrófico"),CONCATENATE("R",'Mapa final'!$A$31),"")</f>
        <v/>
      </c>
      <c r="BG88" s="466"/>
      <c r="BH88" s="55"/>
      <c r="BI88" s="526"/>
      <c r="BJ88" s="527"/>
      <c r="BK88" s="527"/>
      <c r="BL88" s="527"/>
      <c r="BM88" s="527"/>
      <c r="BN88" s="528"/>
      <c r="BO88" s="55"/>
      <c r="BP88" s="55"/>
      <c r="BQ88" s="55"/>
      <c r="BR88" s="55"/>
      <c r="BS88" s="55"/>
      <c r="BT88" s="55"/>
      <c r="BU88" s="55"/>
      <c r="BV88" s="55"/>
      <c r="BW88" s="55"/>
      <c r="BX88" s="55"/>
      <c r="BY88" s="55"/>
      <c r="BZ88" s="55"/>
      <c r="CA88" s="55"/>
      <c r="CB88" s="55"/>
      <c r="CC88" s="55"/>
      <c r="CD88" s="55"/>
      <c r="CE88" s="55"/>
      <c r="CF88" s="55"/>
      <c r="CG88" s="55"/>
      <c r="CH88" s="55"/>
      <c r="CI88" s="55"/>
      <c r="CJ88" s="55"/>
      <c r="CK88" s="55"/>
      <c r="CL88" s="55"/>
      <c r="CM88" s="55"/>
      <c r="CN88" s="55"/>
      <c r="CO88" s="55"/>
      <c r="CP88" s="55"/>
      <c r="CQ88" s="55"/>
      <c r="CR88" s="55"/>
      <c r="CS88" s="55"/>
      <c r="CT88" s="55"/>
      <c r="CU88" s="55"/>
      <c r="CV88" s="55"/>
    </row>
    <row r="89" spans="1:100" ht="15" customHeight="1" x14ac:dyDescent="0.25">
      <c r="A89" s="55"/>
      <c r="B89" s="316"/>
      <c r="C89" s="316"/>
      <c r="D89" s="317"/>
      <c r="E89" s="534"/>
      <c r="F89" s="535"/>
      <c r="G89" s="535"/>
      <c r="H89" s="535"/>
      <c r="I89" s="539"/>
      <c r="J89" s="462"/>
      <c r="K89" s="463"/>
      <c r="L89" s="463"/>
      <c r="M89" s="463"/>
      <c r="N89" s="463"/>
      <c r="O89" s="463"/>
      <c r="P89" s="463"/>
      <c r="Q89" s="463"/>
      <c r="R89" s="463"/>
      <c r="S89" s="464"/>
      <c r="T89" s="462"/>
      <c r="U89" s="463"/>
      <c r="V89" s="463"/>
      <c r="W89" s="463"/>
      <c r="X89" s="463"/>
      <c r="Y89" s="463"/>
      <c r="Z89" s="463"/>
      <c r="AA89" s="463"/>
      <c r="AB89" s="463"/>
      <c r="AC89" s="464"/>
      <c r="AD89" s="470"/>
      <c r="AE89" s="468"/>
      <c r="AF89" s="468"/>
      <c r="AG89" s="468"/>
      <c r="AH89" s="468"/>
      <c r="AI89" s="468"/>
      <c r="AJ89" s="468"/>
      <c r="AK89" s="468"/>
      <c r="AL89" s="468"/>
      <c r="AM89" s="469"/>
      <c r="AN89" s="473"/>
      <c r="AO89" s="471"/>
      <c r="AP89" s="471"/>
      <c r="AQ89" s="471"/>
      <c r="AR89" s="471"/>
      <c r="AS89" s="471"/>
      <c r="AT89" s="471"/>
      <c r="AU89" s="471"/>
      <c r="AV89" s="471"/>
      <c r="AW89" s="472"/>
      <c r="AX89" s="467"/>
      <c r="AY89" s="465"/>
      <c r="AZ89" s="465"/>
      <c r="BA89" s="465"/>
      <c r="BB89" s="465"/>
      <c r="BC89" s="465"/>
      <c r="BD89" s="465"/>
      <c r="BE89" s="465"/>
      <c r="BF89" s="465"/>
      <c r="BG89" s="466"/>
      <c r="BH89" s="55"/>
      <c r="BI89" s="526"/>
      <c r="BJ89" s="527"/>
      <c r="BK89" s="527"/>
      <c r="BL89" s="527"/>
      <c r="BM89" s="527"/>
      <c r="BN89" s="528"/>
      <c r="BO89" s="55"/>
      <c r="BP89" s="55"/>
      <c r="BQ89" s="55"/>
      <c r="BR89" s="55"/>
      <c r="BS89" s="55"/>
      <c r="BT89" s="55"/>
      <c r="BU89" s="55"/>
      <c r="BV89" s="55"/>
      <c r="BW89" s="55"/>
      <c r="BX89" s="55"/>
      <c r="BY89" s="55"/>
      <c r="BZ89" s="55"/>
      <c r="CA89" s="55"/>
      <c r="CB89" s="55"/>
      <c r="CC89" s="55"/>
      <c r="CD89" s="55"/>
      <c r="CE89" s="55"/>
      <c r="CF89" s="55"/>
      <c r="CG89" s="55"/>
      <c r="CH89" s="55"/>
      <c r="CI89" s="55"/>
      <c r="CJ89" s="55"/>
      <c r="CK89" s="55"/>
      <c r="CL89" s="55"/>
      <c r="CM89" s="55"/>
      <c r="CN89" s="55"/>
      <c r="CO89" s="55"/>
      <c r="CP89" s="55"/>
      <c r="CQ89" s="55"/>
      <c r="CR89" s="55"/>
      <c r="CS89" s="55"/>
      <c r="CT89" s="55"/>
      <c r="CU89" s="55"/>
      <c r="CV89" s="55"/>
    </row>
    <row r="90" spans="1:100" ht="15" customHeight="1" x14ac:dyDescent="0.25">
      <c r="A90" s="55"/>
      <c r="B90" s="316"/>
      <c r="C90" s="316"/>
      <c r="D90" s="317"/>
      <c r="E90" s="534"/>
      <c r="F90" s="535"/>
      <c r="G90" s="535"/>
      <c r="H90" s="535"/>
      <c r="I90" s="539"/>
      <c r="J90" s="462" t="str">
        <f>IF(AND('Mapa final'!$K$34="Muy Baja",'Mapa final'!$O$34="Leve"),CONCATENATE("R",'Mapa final'!$A$34),"")</f>
        <v/>
      </c>
      <c r="K90" s="463"/>
      <c r="L90" s="463" t="str">
        <f>IF(AND('Mapa final'!$K$37="Muy Baja",'Mapa final'!$O$37="Leve"),CONCATENATE("R",'Mapa final'!$A$37),"")</f>
        <v/>
      </c>
      <c r="M90" s="463"/>
      <c r="N90" s="463" t="str">
        <f>IF(AND('Mapa final'!$K$40="Muy Baja",'Mapa final'!$O$40="Leve"),CONCATENATE("R",'Mapa final'!$A$40),"")</f>
        <v/>
      </c>
      <c r="O90" s="463"/>
      <c r="P90" s="463" t="str">
        <f>IF(AND('Mapa final'!$K$43="Muy Baja",'Mapa final'!$O$43="Leve"),CONCATENATE("R",'Mapa final'!$A$43),"")</f>
        <v/>
      </c>
      <c r="Q90" s="463"/>
      <c r="R90" s="463" t="str">
        <f>IF(AND('Mapa final'!$K$46="Muy Baja",'Mapa final'!$O$46="Leve"),CONCATENATE("R",'Mapa final'!$A$46),"")</f>
        <v/>
      </c>
      <c r="S90" s="464"/>
      <c r="T90" s="462" t="str">
        <f>IF(AND('Mapa final'!$K$34="Muy Baja",'Mapa final'!$O$34="Menor"),CONCATENATE("R",'Mapa final'!$A$34),"")</f>
        <v/>
      </c>
      <c r="U90" s="463"/>
      <c r="V90" s="463" t="str">
        <f>IF(AND('Mapa final'!$K$37="Muy Baja",'Mapa final'!$O$37="Menor"),CONCATENATE("R",'Mapa final'!$A$37),"")</f>
        <v/>
      </c>
      <c r="W90" s="463"/>
      <c r="X90" s="463" t="str">
        <f>IF(AND('Mapa final'!$K$40="Muy Baja",'Mapa final'!$O$40="Menor"),CONCATENATE("R",'Mapa final'!$A$40),"")</f>
        <v/>
      </c>
      <c r="Y90" s="463"/>
      <c r="Z90" s="463" t="str">
        <f>IF(AND('Mapa final'!$K$43="Muy Baja",'Mapa final'!$O$43="Menor"),CONCATENATE("R",'Mapa final'!$A$43),"")</f>
        <v/>
      </c>
      <c r="AA90" s="463"/>
      <c r="AB90" s="463" t="str">
        <f>IF(AND('Mapa final'!$K$46="Muy Baja",'Mapa final'!$O$46="Menor"),CONCATENATE("R",'Mapa final'!$A$46),"")</f>
        <v/>
      </c>
      <c r="AC90" s="464"/>
      <c r="AD90" s="470" t="str">
        <f>IF(AND('Mapa final'!$K$34="Muy Baja",'Mapa final'!$O$34="Moderado"),CONCATENATE("R",'Mapa final'!$A$34),"")</f>
        <v/>
      </c>
      <c r="AE90" s="468"/>
      <c r="AF90" s="468" t="str">
        <f>IF(AND('Mapa final'!$K$37="Muy Baja",'Mapa final'!$O$37="Moderado"),CONCATENATE("R",'Mapa final'!$A$37),"")</f>
        <v/>
      </c>
      <c r="AG90" s="468"/>
      <c r="AH90" s="468" t="str">
        <f>IF(AND('Mapa final'!$K$40="Muy Baja",'Mapa final'!$O$40="Moderado"),CONCATENATE("R",'Mapa final'!$A$40),"")</f>
        <v>R12</v>
      </c>
      <c r="AI90" s="468"/>
      <c r="AJ90" s="468" t="str">
        <f>IF(AND('Mapa final'!$K$43="Muy Baja",'Mapa final'!$O$43="Moderado"),CONCATENATE("R",'Mapa final'!$A$43),"")</f>
        <v/>
      </c>
      <c r="AK90" s="468"/>
      <c r="AL90" s="468" t="str">
        <f>IF(AND('Mapa final'!$K$46="Muy Baja",'Mapa final'!$O$46="Moderado"),CONCATENATE("R",'Mapa final'!$A$46),"")</f>
        <v/>
      </c>
      <c r="AM90" s="469"/>
      <c r="AN90" s="473" t="str">
        <f>IF(AND('Mapa final'!$K$34="Muy Baja",'Mapa final'!$O$34="Mayor"),CONCATENATE("R",'Mapa final'!$A$34),"")</f>
        <v/>
      </c>
      <c r="AO90" s="471"/>
      <c r="AP90" s="471" t="str">
        <f>IF(AND('Mapa final'!$K$37="Muy Baja",'Mapa final'!$O$37="Mayor"),CONCATENATE("R",'Mapa final'!$A$37),"")</f>
        <v/>
      </c>
      <c r="AQ90" s="471"/>
      <c r="AR90" s="471" t="str">
        <f>IF(AND('Mapa final'!$K$40="Muy Baja",'Mapa final'!$O$40="Mayor"),CONCATENATE("R",'Mapa final'!$A$40),"")</f>
        <v/>
      </c>
      <c r="AS90" s="471"/>
      <c r="AT90" s="471" t="str">
        <f>IF(AND('Mapa final'!$K$43="Muy Baja",'Mapa final'!$O$43="Mayor"),CONCATENATE("R",'Mapa final'!$A$43),"")</f>
        <v/>
      </c>
      <c r="AU90" s="471"/>
      <c r="AV90" s="471" t="str">
        <f>IF(AND('Mapa final'!$K$46="Muy Baja",'Mapa final'!$O$46="Mayor"),CONCATENATE("R",'Mapa final'!$A$46),"")</f>
        <v/>
      </c>
      <c r="AW90" s="472"/>
      <c r="AX90" s="467" t="str">
        <f>IF(AND('Mapa final'!$K$34="Muy Baja",'Mapa final'!$O$34="Catastrófico"),CONCATENATE("R",'Mapa final'!$A$34),"")</f>
        <v/>
      </c>
      <c r="AY90" s="465"/>
      <c r="AZ90" s="465" t="str">
        <f>IF(AND('Mapa final'!$K$37="Muy Baja",'Mapa final'!$O$37="Catastrófico"),CONCATENATE("R",'Mapa final'!$A$37),"")</f>
        <v/>
      </c>
      <c r="BA90" s="465"/>
      <c r="BB90" s="465" t="str">
        <f>IF(AND('Mapa final'!$K$40="Muy Baja",'Mapa final'!$O$40="Catastrófico"),CONCATENATE("R",'Mapa final'!$A$40),"")</f>
        <v/>
      </c>
      <c r="BC90" s="465"/>
      <c r="BD90" s="465" t="str">
        <f>IF(AND('Mapa final'!$K$43="Muy Baja",'Mapa final'!$O$43="Catastrófico"),CONCATENATE("R",'Mapa final'!$A$43),"")</f>
        <v/>
      </c>
      <c r="BE90" s="465"/>
      <c r="BF90" s="465" t="str">
        <f>IF(AND('Mapa final'!$K$46="Muy Baja",'Mapa final'!$O$46="Catastrófico"),CONCATENATE("R",'Mapa final'!$A$46),"")</f>
        <v/>
      </c>
      <c r="BG90" s="466"/>
      <c r="BH90" s="55"/>
      <c r="BI90" s="526"/>
      <c r="BJ90" s="527"/>
      <c r="BK90" s="527"/>
      <c r="BL90" s="527"/>
      <c r="BM90" s="527"/>
      <c r="BN90" s="528"/>
      <c r="BO90" s="55"/>
      <c r="BP90" s="55"/>
      <c r="BQ90" s="55"/>
      <c r="BR90" s="55"/>
      <c r="BS90" s="55"/>
      <c r="BT90" s="55"/>
      <c r="BU90" s="55"/>
      <c r="BV90" s="55"/>
      <c r="BW90" s="55"/>
      <c r="BX90" s="55"/>
      <c r="BY90" s="55"/>
      <c r="BZ90" s="55"/>
      <c r="CA90" s="55"/>
      <c r="CB90" s="55"/>
      <c r="CC90" s="55"/>
      <c r="CD90" s="55"/>
      <c r="CE90" s="55"/>
      <c r="CF90" s="55"/>
      <c r="CG90" s="55"/>
      <c r="CH90" s="55"/>
      <c r="CI90" s="55"/>
      <c r="CJ90" s="55"/>
      <c r="CK90" s="55"/>
      <c r="CL90" s="55"/>
      <c r="CM90" s="55"/>
      <c r="CN90" s="55"/>
      <c r="CO90" s="55"/>
      <c r="CP90" s="55"/>
      <c r="CQ90" s="55"/>
      <c r="CR90" s="55"/>
      <c r="CS90" s="55"/>
      <c r="CT90" s="55"/>
      <c r="CU90" s="55"/>
      <c r="CV90" s="55"/>
    </row>
    <row r="91" spans="1:100" ht="15" customHeight="1" x14ac:dyDescent="0.25">
      <c r="A91" s="55"/>
      <c r="B91" s="316"/>
      <c r="C91" s="316"/>
      <c r="D91" s="317"/>
      <c r="E91" s="534"/>
      <c r="F91" s="535"/>
      <c r="G91" s="535"/>
      <c r="H91" s="535"/>
      <c r="I91" s="539"/>
      <c r="J91" s="462"/>
      <c r="K91" s="463"/>
      <c r="L91" s="463"/>
      <c r="M91" s="463"/>
      <c r="N91" s="463"/>
      <c r="O91" s="463"/>
      <c r="P91" s="463"/>
      <c r="Q91" s="463"/>
      <c r="R91" s="463"/>
      <c r="S91" s="464"/>
      <c r="T91" s="462"/>
      <c r="U91" s="463"/>
      <c r="V91" s="463"/>
      <c r="W91" s="463"/>
      <c r="X91" s="463"/>
      <c r="Y91" s="463"/>
      <c r="Z91" s="463"/>
      <c r="AA91" s="463"/>
      <c r="AB91" s="463"/>
      <c r="AC91" s="464"/>
      <c r="AD91" s="470"/>
      <c r="AE91" s="468"/>
      <c r="AF91" s="468"/>
      <c r="AG91" s="468"/>
      <c r="AH91" s="468"/>
      <c r="AI91" s="468"/>
      <c r="AJ91" s="468"/>
      <c r="AK91" s="468"/>
      <c r="AL91" s="468"/>
      <c r="AM91" s="469"/>
      <c r="AN91" s="473"/>
      <c r="AO91" s="471"/>
      <c r="AP91" s="471"/>
      <c r="AQ91" s="471"/>
      <c r="AR91" s="471"/>
      <c r="AS91" s="471"/>
      <c r="AT91" s="471"/>
      <c r="AU91" s="471"/>
      <c r="AV91" s="471"/>
      <c r="AW91" s="472"/>
      <c r="AX91" s="467"/>
      <c r="AY91" s="465"/>
      <c r="AZ91" s="465"/>
      <c r="BA91" s="465"/>
      <c r="BB91" s="465"/>
      <c r="BC91" s="465"/>
      <c r="BD91" s="465"/>
      <c r="BE91" s="465"/>
      <c r="BF91" s="465"/>
      <c r="BG91" s="466"/>
      <c r="BH91" s="55"/>
      <c r="BI91" s="526"/>
      <c r="BJ91" s="527"/>
      <c r="BK91" s="527"/>
      <c r="BL91" s="527"/>
      <c r="BM91" s="527"/>
      <c r="BN91" s="528"/>
      <c r="BO91" s="55"/>
      <c r="BP91" s="55"/>
      <c r="BQ91" s="55"/>
      <c r="BR91" s="55"/>
      <c r="BS91" s="55"/>
      <c r="BT91" s="55"/>
      <c r="BU91" s="55"/>
      <c r="BV91" s="55"/>
      <c r="BW91" s="55"/>
      <c r="BX91" s="55"/>
      <c r="BY91" s="55"/>
      <c r="BZ91" s="55"/>
      <c r="CA91" s="55"/>
      <c r="CB91" s="55"/>
      <c r="CC91" s="55"/>
      <c r="CD91" s="55"/>
      <c r="CE91" s="55"/>
      <c r="CF91" s="55"/>
      <c r="CG91" s="55"/>
      <c r="CH91" s="55"/>
      <c r="CI91" s="55"/>
      <c r="CJ91" s="55"/>
      <c r="CK91" s="55"/>
      <c r="CL91" s="55"/>
      <c r="CM91" s="55"/>
      <c r="CN91" s="55"/>
      <c r="CO91" s="55"/>
      <c r="CP91" s="55"/>
      <c r="CQ91" s="55"/>
      <c r="CR91" s="55"/>
      <c r="CS91" s="55"/>
      <c r="CT91" s="55"/>
      <c r="CU91" s="55"/>
      <c r="CV91" s="55"/>
    </row>
    <row r="92" spans="1:100" ht="15" customHeight="1" x14ac:dyDescent="0.25">
      <c r="A92" s="55"/>
      <c r="B92" s="316"/>
      <c r="C92" s="316"/>
      <c r="D92" s="317"/>
      <c r="E92" s="534"/>
      <c r="F92" s="535"/>
      <c r="G92" s="535"/>
      <c r="H92" s="535"/>
      <c r="I92" s="539"/>
      <c r="J92" s="462" t="str">
        <f>IF(AND('Mapa final'!$K$49="Muy Baja",'Mapa final'!$O$49="Leve"),CONCATENATE("R",'Mapa final'!$A$49),"")</f>
        <v/>
      </c>
      <c r="K92" s="463"/>
      <c r="L92" s="463" t="str">
        <f>IF(AND('Mapa final'!$K$52="Muy Baja",'Mapa final'!$O$52="Leve"),CONCATENATE("R",'Mapa final'!$A$52),"")</f>
        <v/>
      </c>
      <c r="M92" s="463"/>
      <c r="N92" s="463" t="str">
        <f>IF(AND('Mapa final'!$K$55="Muy Baja",'Mapa final'!$O$55="Leve"),CONCATENATE("R",'Mapa final'!$A$55),"")</f>
        <v/>
      </c>
      <c r="O92" s="463"/>
      <c r="P92" s="463" t="str">
        <f>IF(AND('Mapa final'!$K$58="Muy Baja",'Mapa final'!$O$58="Leve"),CONCATENATE("R",'Mapa final'!$A$58),"")</f>
        <v/>
      </c>
      <c r="Q92" s="463"/>
      <c r="R92" s="463" t="str">
        <f>IF(AND('Mapa final'!$K$61="Muy Baja",'Mapa final'!$O$61="Leve"),CONCATENATE("R",'Mapa final'!$A$61),"")</f>
        <v/>
      </c>
      <c r="S92" s="464"/>
      <c r="T92" s="462" t="str">
        <f>IF(AND('Mapa final'!$K$49="Muy Baja",'Mapa final'!$O$49="Menor"),CONCATENATE("R",'Mapa final'!$A$49),"")</f>
        <v/>
      </c>
      <c r="U92" s="463"/>
      <c r="V92" s="463" t="str">
        <f>IF(AND('Mapa final'!$K$52="Muy Baja",'Mapa final'!$O$52="Menor"),CONCATENATE("R",'Mapa final'!$A$52),"")</f>
        <v/>
      </c>
      <c r="W92" s="463"/>
      <c r="X92" s="463" t="str">
        <f>IF(AND('Mapa final'!$K$55="Muy Baja",'Mapa final'!$O$55="Menor"),CONCATENATE("R",'Mapa final'!$A$55),"")</f>
        <v/>
      </c>
      <c r="Y92" s="463"/>
      <c r="Z92" s="463" t="str">
        <f>IF(AND('Mapa final'!$K$58="Muy Baja",'Mapa final'!$O$58="Menor"),CONCATENATE("R",'Mapa final'!$A$58),"")</f>
        <v/>
      </c>
      <c r="AA92" s="463"/>
      <c r="AB92" s="463" t="str">
        <f>IF(AND('Mapa final'!$K$61="Muy Baja",'Mapa final'!$O$61="Menor"),CONCATENATE("R",'Mapa final'!$A$61),"")</f>
        <v/>
      </c>
      <c r="AC92" s="464"/>
      <c r="AD92" s="470" t="str">
        <f>IF(AND('Mapa final'!$K$49="Muy Baja",'Mapa final'!$O$49="Moderado"),CONCATENATE("R",'Mapa final'!$A$49),"")</f>
        <v/>
      </c>
      <c r="AE92" s="468"/>
      <c r="AF92" s="468" t="str">
        <f>IF(AND('Mapa final'!$K$52="Muy Baja",'Mapa final'!$O$52="Moderado"),CONCATENATE("R",'Mapa final'!$A$52),"")</f>
        <v/>
      </c>
      <c r="AG92" s="468"/>
      <c r="AH92" s="468" t="str">
        <f>IF(AND('Mapa final'!$K$55="Muy Baja",'Mapa final'!$O$55="Moderado"),CONCATENATE("R",'Mapa final'!$A$55),"")</f>
        <v/>
      </c>
      <c r="AI92" s="468"/>
      <c r="AJ92" s="468" t="str">
        <f>IF(AND('Mapa final'!$K$58="Muy Baja",'Mapa final'!$O$58="Moderado"),CONCATENATE("R",'Mapa final'!$A$58),"")</f>
        <v/>
      </c>
      <c r="AK92" s="468"/>
      <c r="AL92" s="468" t="str">
        <f>IF(AND('Mapa final'!$K$61="Muy Baja",'Mapa final'!$O$61="Moderado"),CONCATENATE("R",'Mapa final'!$A$61),"")</f>
        <v/>
      </c>
      <c r="AM92" s="469"/>
      <c r="AN92" s="473" t="str">
        <f>IF(AND('Mapa final'!$K$49="Muy Baja",'Mapa final'!$O$49="Mayor"),CONCATENATE("R",'Mapa final'!$A$49),"")</f>
        <v/>
      </c>
      <c r="AO92" s="471"/>
      <c r="AP92" s="471" t="str">
        <f>IF(AND('Mapa final'!$K$52="Muy Baja",'Mapa final'!$O$52="Mayor"),CONCATENATE("R",'Mapa final'!$A$52),"")</f>
        <v/>
      </c>
      <c r="AQ92" s="471"/>
      <c r="AR92" s="471" t="str">
        <f>IF(AND('Mapa final'!$K$55="Muy Baja",'Mapa final'!$O$55="Mayor"),CONCATENATE("R",'Mapa final'!$A$55),"")</f>
        <v/>
      </c>
      <c r="AS92" s="471"/>
      <c r="AT92" s="471" t="str">
        <f>IF(AND('Mapa final'!$K$58="Muy Baja",'Mapa final'!$O$58="Mayor"),CONCATENATE("R",'Mapa final'!$A$58),"")</f>
        <v/>
      </c>
      <c r="AU92" s="471"/>
      <c r="AV92" s="471" t="str">
        <f>IF(AND('Mapa final'!$K$61="Muy Baja",'Mapa final'!$O$61="Mayor"),CONCATENATE("R",'Mapa final'!$A$61),"")</f>
        <v/>
      </c>
      <c r="AW92" s="472"/>
      <c r="AX92" s="467" t="str">
        <f>IF(AND('Mapa final'!$K$49="Muy Baja",'Mapa final'!$O$49="Catastrófico"),CONCATENATE("R",'Mapa final'!$A$49),"")</f>
        <v/>
      </c>
      <c r="AY92" s="465"/>
      <c r="AZ92" s="465" t="str">
        <f>IF(AND('Mapa final'!$K$52="Muy Baja",'Mapa final'!$O$52="Catastrófico"),CONCATENATE("R",'Mapa final'!$A$52),"")</f>
        <v/>
      </c>
      <c r="BA92" s="465"/>
      <c r="BB92" s="465" t="str">
        <f>IF(AND('Mapa final'!$K$55="Muy Baja",'Mapa final'!$O$55="Catastrófico"),CONCATENATE("R",'Mapa final'!$A$55),"")</f>
        <v/>
      </c>
      <c r="BC92" s="465"/>
      <c r="BD92" s="465" t="str">
        <f>IF(AND('Mapa final'!$K$58="Muy Baja",'Mapa final'!$O$58="Catastrófico"),CONCATENATE("R",'Mapa final'!$A$58),"")</f>
        <v/>
      </c>
      <c r="BE92" s="465"/>
      <c r="BF92" s="465" t="str">
        <f>IF(AND('Mapa final'!$K$61="Muy Baja",'Mapa final'!$O$61="Catastrófico"),CONCATENATE("R",'Mapa final'!$A$61),"")</f>
        <v/>
      </c>
      <c r="BG92" s="466"/>
      <c r="BH92" s="55"/>
      <c r="BI92" s="526"/>
      <c r="BJ92" s="527"/>
      <c r="BK92" s="527"/>
      <c r="BL92" s="527"/>
      <c r="BM92" s="527"/>
      <c r="BN92" s="528"/>
      <c r="BO92" s="55"/>
      <c r="BP92" s="55"/>
      <c r="BQ92" s="55"/>
      <c r="BR92" s="55"/>
      <c r="BS92" s="55"/>
      <c r="BT92" s="55"/>
      <c r="BU92" s="55"/>
      <c r="BV92" s="55"/>
      <c r="BW92" s="55"/>
      <c r="BX92" s="55"/>
      <c r="BY92" s="55"/>
      <c r="BZ92" s="55"/>
      <c r="CA92" s="55"/>
      <c r="CB92" s="55"/>
      <c r="CC92" s="55"/>
      <c r="CD92" s="55"/>
      <c r="CE92" s="55"/>
      <c r="CF92" s="55"/>
      <c r="CG92" s="55"/>
      <c r="CH92" s="55"/>
      <c r="CI92" s="55"/>
      <c r="CJ92" s="55"/>
      <c r="CK92" s="55"/>
      <c r="CL92" s="55"/>
      <c r="CM92" s="55"/>
      <c r="CN92" s="55"/>
      <c r="CO92" s="55"/>
      <c r="CP92" s="55"/>
      <c r="CQ92" s="55"/>
      <c r="CR92" s="55"/>
      <c r="CS92" s="55"/>
      <c r="CT92" s="55"/>
      <c r="CU92" s="55"/>
      <c r="CV92" s="55"/>
    </row>
    <row r="93" spans="1:100" ht="15" customHeight="1" x14ac:dyDescent="0.25">
      <c r="A93" s="55"/>
      <c r="B93" s="316"/>
      <c r="C93" s="316"/>
      <c r="D93" s="317"/>
      <c r="E93" s="534"/>
      <c r="F93" s="535"/>
      <c r="G93" s="535"/>
      <c r="H93" s="535"/>
      <c r="I93" s="539"/>
      <c r="J93" s="462"/>
      <c r="K93" s="463"/>
      <c r="L93" s="463"/>
      <c r="M93" s="463"/>
      <c r="N93" s="463"/>
      <c r="O93" s="463"/>
      <c r="P93" s="463"/>
      <c r="Q93" s="463"/>
      <c r="R93" s="463"/>
      <c r="S93" s="464"/>
      <c r="T93" s="462"/>
      <c r="U93" s="463"/>
      <c r="V93" s="463"/>
      <c r="W93" s="463"/>
      <c r="X93" s="463"/>
      <c r="Y93" s="463"/>
      <c r="Z93" s="463"/>
      <c r="AA93" s="463"/>
      <c r="AB93" s="463"/>
      <c r="AC93" s="464"/>
      <c r="AD93" s="470"/>
      <c r="AE93" s="468"/>
      <c r="AF93" s="468"/>
      <c r="AG93" s="468"/>
      <c r="AH93" s="468"/>
      <c r="AI93" s="468"/>
      <c r="AJ93" s="468"/>
      <c r="AK93" s="468"/>
      <c r="AL93" s="468"/>
      <c r="AM93" s="469"/>
      <c r="AN93" s="473"/>
      <c r="AO93" s="471"/>
      <c r="AP93" s="471"/>
      <c r="AQ93" s="471"/>
      <c r="AR93" s="471"/>
      <c r="AS93" s="471"/>
      <c r="AT93" s="471"/>
      <c r="AU93" s="471"/>
      <c r="AV93" s="471"/>
      <c r="AW93" s="472"/>
      <c r="AX93" s="467"/>
      <c r="AY93" s="465"/>
      <c r="AZ93" s="465"/>
      <c r="BA93" s="465"/>
      <c r="BB93" s="465"/>
      <c r="BC93" s="465"/>
      <c r="BD93" s="465"/>
      <c r="BE93" s="465"/>
      <c r="BF93" s="465"/>
      <c r="BG93" s="466"/>
      <c r="BH93" s="55"/>
      <c r="BI93" s="526"/>
      <c r="BJ93" s="527"/>
      <c r="BK93" s="527"/>
      <c r="BL93" s="527"/>
      <c r="BM93" s="527"/>
      <c r="BN93" s="528"/>
      <c r="BO93" s="55"/>
      <c r="BP93" s="55"/>
      <c r="BQ93" s="55"/>
      <c r="BR93" s="55"/>
      <c r="BS93" s="55"/>
      <c r="BT93" s="55"/>
      <c r="BU93" s="55"/>
      <c r="BV93" s="55"/>
      <c r="BW93" s="55"/>
      <c r="BX93" s="55"/>
      <c r="BY93" s="55"/>
      <c r="BZ93" s="55"/>
      <c r="CA93" s="55"/>
      <c r="CB93" s="55"/>
      <c r="CC93" s="55"/>
      <c r="CD93" s="55"/>
      <c r="CE93" s="55"/>
      <c r="CF93" s="55"/>
      <c r="CG93" s="55"/>
      <c r="CH93" s="55"/>
      <c r="CI93" s="55"/>
      <c r="CJ93" s="55"/>
      <c r="CK93" s="55"/>
      <c r="CL93" s="55"/>
      <c r="CM93" s="55"/>
      <c r="CN93" s="55"/>
      <c r="CO93" s="55"/>
      <c r="CP93" s="55"/>
      <c r="CQ93" s="55"/>
      <c r="CR93" s="55"/>
      <c r="CS93" s="55"/>
      <c r="CT93" s="55"/>
      <c r="CU93" s="55"/>
      <c r="CV93" s="55"/>
    </row>
    <row r="94" spans="1:100" ht="15" customHeight="1" x14ac:dyDescent="0.25">
      <c r="A94" s="55"/>
      <c r="B94" s="316"/>
      <c r="C94" s="316"/>
      <c r="D94" s="317"/>
      <c r="E94" s="534"/>
      <c r="F94" s="535"/>
      <c r="G94" s="535"/>
      <c r="H94" s="535"/>
      <c r="I94" s="539"/>
      <c r="J94" s="462" t="str">
        <f>IF(AND('Mapa final'!$K$64="Muy Baja",'Mapa final'!$O$64="Leve"),CONCATENATE("R",'Mapa final'!$A$64),"")</f>
        <v/>
      </c>
      <c r="K94" s="463"/>
      <c r="L94" s="463" t="str">
        <f>IF(AND('Mapa final'!$K$67="Muy Baja",'Mapa final'!$O$67="Leve"),CONCATENATE("R",'Mapa final'!$A$67),"")</f>
        <v/>
      </c>
      <c r="M94" s="463"/>
      <c r="N94" s="463" t="str">
        <f>IF(AND('Mapa final'!$K$73="Muy Baja",'Mapa final'!$O$73="Leve"),CONCATENATE("R",'Mapa final'!$A$73),"")</f>
        <v/>
      </c>
      <c r="O94" s="463"/>
      <c r="P94" s="463" t="str">
        <f>IF(AND('Mapa final'!$K$76="Muy Baja",'Mapa final'!$O$76="Leve"),CONCATENATE("R",'Mapa final'!$A$76),"")</f>
        <v/>
      </c>
      <c r="Q94" s="463"/>
      <c r="R94" s="463" t="str">
        <f>IF(AND('Mapa final'!$K$79="Muy Baja",'Mapa final'!$O$79="Leve"),CONCATENATE("R",'Mapa final'!$A$79),"")</f>
        <v/>
      </c>
      <c r="S94" s="464"/>
      <c r="T94" s="462" t="str">
        <f>IF(AND('Mapa final'!$K$64="Muy Baja",'Mapa final'!$O$64="Menor"),CONCATENATE("R",'Mapa final'!$A$64),"")</f>
        <v/>
      </c>
      <c r="U94" s="463"/>
      <c r="V94" s="463" t="str">
        <f>IF(AND('Mapa final'!$K$67="Muy Baja",'Mapa final'!$O$67="Menor"),CONCATENATE("R",'Mapa final'!$A$67),"")</f>
        <v/>
      </c>
      <c r="W94" s="463"/>
      <c r="X94" s="463" t="str">
        <f>IF(AND('Mapa final'!$K$73="Muy Baja",'Mapa final'!$O$73="Menor"),CONCATENATE("R",'Mapa final'!$A$73),"")</f>
        <v/>
      </c>
      <c r="Y94" s="463"/>
      <c r="Z94" s="463" t="str">
        <f>IF(AND('Mapa final'!$K$76="Muy Baja",'Mapa final'!$O$76="Menor"),CONCATENATE("R",'Mapa final'!$A$76),"")</f>
        <v/>
      </c>
      <c r="AA94" s="463"/>
      <c r="AB94" s="463" t="str">
        <f>IF(AND('Mapa final'!$K$79="Muy Baja",'Mapa final'!$O$79="Menor"),CONCATENATE("R",'Mapa final'!$A$79),"")</f>
        <v/>
      </c>
      <c r="AC94" s="464"/>
      <c r="AD94" s="470" t="str">
        <f>IF(AND('Mapa final'!$K$64="Muy Baja",'Mapa final'!$O$64="Moderado"),CONCATENATE("R",'Mapa final'!$A$64),"")</f>
        <v/>
      </c>
      <c r="AE94" s="468"/>
      <c r="AF94" s="468" t="str">
        <f>IF(AND('Mapa final'!$K$67="Muy Baja",'Mapa final'!$O$67="Moderado"),CONCATENATE("R",'Mapa final'!$A$67),"")</f>
        <v/>
      </c>
      <c r="AG94" s="468"/>
      <c r="AH94" s="468" t="str">
        <f>IF(AND('Mapa final'!$K$73="Muy Baja",'Mapa final'!$O$73="Moderado"),CONCATENATE("R",'Mapa final'!$A$73),"")</f>
        <v/>
      </c>
      <c r="AI94" s="468"/>
      <c r="AJ94" s="468" t="str">
        <f>IF(AND('Mapa final'!$K$76="Muy Baja",'Mapa final'!$O$76="Moderado"),CONCATENATE("R",'Mapa final'!$A$76),"")</f>
        <v/>
      </c>
      <c r="AK94" s="468"/>
      <c r="AL94" s="468" t="str">
        <f>IF(AND('Mapa final'!$K$79="Muy Baja",'Mapa final'!$O$79="Moderado"),CONCATENATE("R",'Mapa final'!$A$79),"")</f>
        <v/>
      </c>
      <c r="AM94" s="469"/>
      <c r="AN94" s="473" t="str">
        <f>IF(AND('Mapa final'!$K$64="Muy Baja",'Mapa final'!$O$64="Mayor"),CONCATENATE("R",'Mapa final'!$A$64),"")</f>
        <v/>
      </c>
      <c r="AO94" s="471"/>
      <c r="AP94" s="471" t="str">
        <f>IF(AND('Mapa final'!$K$67="Muy Baja",'Mapa final'!$O$67="Mayor"),CONCATENATE("R",'Mapa final'!$A$67),"")</f>
        <v/>
      </c>
      <c r="AQ94" s="471"/>
      <c r="AR94" s="471" t="str">
        <f>IF(AND('Mapa final'!$K$73="Muy Baja",'Mapa final'!$O$73="Mayor"),CONCATENATE("R",'Mapa final'!$A$73),"")</f>
        <v/>
      </c>
      <c r="AS94" s="471"/>
      <c r="AT94" s="471" t="str">
        <f>IF(AND('Mapa final'!$K$76="Muy Baja",'Mapa final'!$O$76="Mayor"),CONCATENATE("R",'Mapa final'!$A$76),"")</f>
        <v/>
      </c>
      <c r="AU94" s="471"/>
      <c r="AV94" s="471" t="str">
        <f>IF(AND('Mapa final'!$K$79="Muy Baja",'Mapa final'!$O$79="Mayor"),CONCATENATE("R",'Mapa final'!$A$79),"")</f>
        <v/>
      </c>
      <c r="AW94" s="472"/>
      <c r="AX94" s="467" t="str">
        <f>IF(AND('Mapa final'!$K$64="Muy Baja",'Mapa final'!$O$64="Catastrófico"),CONCATENATE("R",'Mapa final'!$A$64),"")</f>
        <v/>
      </c>
      <c r="AY94" s="465"/>
      <c r="AZ94" s="465" t="str">
        <f>IF(AND('Mapa final'!$K$67="Muy Baja",'Mapa final'!$O$67="Catastrófico"),CONCATENATE("R",'Mapa final'!$A$67),"")</f>
        <v/>
      </c>
      <c r="BA94" s="465"/>
      <c r="BB94" s="465" t="str">
        <f>IF(AND('Mapa final'!$K$73="Muy Baja",'Mapa final'!$O$73="Catastrófico"),CONCATENATE("R",'Mapa final'!$A$73),"")</f>
        <v/>
      </c>
      <c r="BC94" s="465"/>
      <c r="BD94" s="465" t="str">
        <f>IF(AND('Mapa final'!$K$76="Muy Baja",'Mapa final'!$O$76="Catastrófico"),CONCATENATE("R",'Mapa final'!$A$76),"")</f>
        <v/>
      </c>
      <c r="BE94" s="465"/>
      <c r="BF94" s="465" t="str">
        <f>IF(AND('Mapa final'!$K$79="Muy Baja",'Mapa final'!$O$79="Catastrófico"),CONCATENATE("R",'Mapa final'!$A$79),"")</f>
        <v/>
      </c>
      <c r="BG94" s="466"/>
      <c r="BH94" s="55"/>
      <c r="BI94" s="526"/>
      <c r="BJ94" s="527"/>
      <c r="BK94" s="527"/>
      <c r="BL94" s="527"/>
      <c r="BM94" s="527"/>
      <c r="BN94" s="528"/>
      <c r="BO94" s="55"/>
      <c r="BP94" s="55"/>
      <c r="BQ94" s="55"/>
      <c r="BR94" s="55"/>
      <c r="BS94" s="55"/>
      <c r="BT94" s="55"/>
      <c r="BU94" s="55"/>
      <c r="BV94" s="55"/>
      <c r="BW94" s="55"/>
      <c r="BX94" s="55"/>
      <c r="BY94" s="55"/>
      <c r="BZ94" s="55"/>
      <c r="CA94" s="55"/>
      <c r="CB94" s="55"/>
      <c r="CC94" s="55"/>
      <c r="CD94" s="55"/>
      <c r="CE94" s="55"/>
      <c r="CF94" s="55"/>
      <c r="CG94" s="55"/>
      <c r="CH94" s="55"/>
      <c r="CI94" s="55"/>
      <c r="CJ94" s="55"/>
      <c r="CK94" s="55"/>
      <c r="CL94" s="55"/>
      <c r="CM94" s="55"/>
      <c r="CN94" s="55"/>
      <c r="CO94" s="55"/>
      <c r="CP94" s="55"/>
      <c r="CQ94" s="55"/>
      <c r="CR94" s="55"/>
      <c r="CS94" s="55"/>
      <c r="CT94" s="55"/>
      <c r="CU94" s="55"/>
      <c r="CV94" s="55"/>
    </row>
    <row r="95" spans="1:100" ht="15" customHeight="1" x14ac:dyDescent="0.25">
      <c r="A95" s="55"/>
      <c r="B95" s="316"/>
      <c r="C95" s="316"/>
      <c r="D95" s="317"/>
      <c r="E95" s="534"/>
      <c r="F95" s="535"/>
      <c r="G95" s="535"/>
      <c r="H95" s="535"/>
      <c r="I95" s="539"/>
      <c r="J95" s="462"/>
      <c r="K95" s="463"/>
      <c r="L95" s="463"/>
      <c r="M95" s="463"/>
      <c r="N95" s="463"/>
      <c r="O95" s="463"/>
      <c r="P95" s="463"/>
      <c r="Q95" s="463"/>
      <c r="R95" s="463"/>
      <c r="S95" s="464"/>
      <c r="T95" s="462"/>
      <c r="U95" s="463"/>
      <c r="V95" s="463"/>
      <c r="W95" s="463"/>
      <c r="X95" s="463"/>
      <c r="Y95" s="463"/>
      <c r="Z95" s="463"/>
      <c r="AA95" s="463"/>
      <c r="AB95" s="463"/>
      <c r="AC95" s="464"/>
      <c r="AD95" s="470"/>
      <c r="AE95" s="468"/>
      <c r="AF95" s="468"/>
      <c r="AG95" s="468"/>
      <c r="AH95" s="468"/>
      <c r="AI95" s="468"/>
      <c r="AJ95" s="468"/>
      <c r="AK95" s="468"/>
      <c r="AL95" s="468"/>
      <c r="AM95" s="469"/>
      <c r="AN95" s="473"/>
      <c r="AO95" s="471"/>
      <c r="AP95" s="471"/>
      <c r="AQ95" s="471"/>
      <c r="AR95" s="471"/>
      <c r="AS95" s="471"/>
      <c r="AT95" s="471"/>
      <c r="AU95" s="471"/>
      <c r="AV95" s="471"/>
      <c r="AW95" s="472"/>
      <c r="AX95" s="467"/>
      <c r="AY95" s="465"/>
      <c r="AZ95" s="465"/>
      <c r="BA95" s="465"/>
      <c r="BB95" s="465"/>
      <c r="BC95" s="465"/>
      <c r="BD95" s="465"/>
      <c r="BE95" s="465"/>
      <c r="BF95" s="465"/>
      <c r="BG95" s="466"/>
      <c r="BH95" s="55"/>
      <c r="BI95" s="526"/>
      <c r="BJ95" s="527"/>
      <c r="BK95" s="527"/>
      <c r="BL95" s="527"/>
      <c r="BM95" s="527"/>
      <c r="BN95" s="528"/>
      <c r="BO95" s="55"/>
      <c r="BP95" s="55"/>
      <c r="BQ95" s="55"/>
      <c r="BR95" s="55"/>
      <c r="BS95" s="55"/>
      <c r="BT95" s="55"/>
      <c r="BU95" s="55"/>
      <c r="BV95" s="55"/>
      <c r="BW95" s="55"/>
      <c r="BX95" s="55"/>
      <c r="BY95" s="55"/>
      <c r="BZ95" s="55"/>
      <c r="CA95" s="55"/>
      <c r="CB95" s="55"/>
      <c r="CC95" s="55"/>
      <c r="CD95" s="55"/>
      <c r="CE95" s="55"/>
      <c r="CF95" s="55"/>
      <c r="CG95" s="55"/>
      <c r="CH95" s="55"/>
      <c r="CI95" s="55"/>
      <c r="CJ95" s="55"/>
      <c r="CK95" s="55"/>
      <c r="CL95" s="55"/>
      <c r="CM95" s="55"/>
      <c r="CN95" s="55"/>
      <c r="CO95" s="55"/>
      <c r="CP95" s="55"/>
      <c r="CQ95" s="55"/>
      <c r="CR95" s="55"/>
      <c r="CS95" s="55"/>
      <c r="CT95" s="55"/>
      <c r="CU95" s="55"/>
      <c r="CV95" s="55"/>
    </row>
    <row r="96" spans="1:100" ht="15" customHeight="1" x14ac:dyDescent="0.25">
      <c r="A96" s="55"/>
      <c r="B96" s="316"/>
      <c r="C96" s="316"/>
      <c r="D96" s="317"/>
      <c r="E96" s="534"/>
      <c r="F96" s="535"/>
      <c r="G96" s="535"/>
      <c r="H96" s="535"/>
      <c r="I96" s="539"/>
      <c r="J96" s="462" t="str">
        <f>IF(AND('Mapa final'!$K$82="Muy Baja",'Mapa final'!$O$82="Leve"),CONCATENATE("R",'Mapa final'!$A$82),"")</f>
        <v/>
      </c>
      <c r="K96" s="463"/>
      <c r="L96" s="463" t="str">
        <f>IF(AND('Mapa final'!$K$85="Muy Baja",'Mapa final'!$O$85="Leve"),CONCATENATE("R",'Mapa final'!$A$85),"")</f>
        <v/>
      </c>
      <c r="M96" s="463"/>
      <c r="N96" s="463" t="str">
        <f>IF(AND('Mapa final'!$K$88="Muy Baja",'Mapa final'!$O$88="Leve"),CONCATENATE("R",'Mapa final'!$A$88),"")</f>
        <v/>
      </c>
      <c r="O96" s="463"/>
      <c r="P96" s="463" t="str">
        <f>IF(AND('Mapa final'!$K$91="Muy Baja",'Mapa final'!$O$91="Leve"),CONCATENATE("R",'Mapa final'!$A$91),"")</f>
        <v/>
      </c>
      <c r="Q96" s="463"/>
      <c r="R96" s="463" t="str">
        <f>IF(AND('Mapa final'!$K$94="Muy Baja",'Mapa final'!$O$94="Leve"),CONCATENATE("R",'Mapa final'!$A$94),"")</f>
        <v/>
      </c>
      <c r="S96" s="464"/>
      <c r="T96" s="462" t="str">
        <f>IF(AND('Mapa final'!$K$82="Muy Baja",'Mapa final'!$O$82="Menor"),CONCATENATE("R",'Mapa final'!$A$82),"")</f>
        <v/>
      </c>
      <c r="U96" s="463"/>
      <c r="V96" s="463" t="str">
        <f>IF(AND('Mapa final'!$K$85="Muy Baja",'Mapa final'!$O$85="Menor"),CONCATENATE("R",'Mapa final'!$A$85),"")</f>
        <v/>
      </c>
      <c r="W96" s="463"/>
      <c r="X96" s="463" t="str">
        <f>IF(AND('Mapa final'!$K$88="Muy Baja",'Mapa final'!$O$88="Menor"),CONCATENATE("R",'Mapa final'!$A$88),"")</f>
        <v/>
      </c>
      <c r="Y96" s="463"/>
      <c r="Z96" s="463" t="str">
        <f>IF(AND('Mapa final'!$K$91="Muy Baja",'Mapa final'!$O$91="Menor"),CONCATENATE("R",'Mapa final'!$A$91),"")</f>
        <v/>
      </c>
      <c r="AA96" s="463"/>
      <c r="AB96" s="463" t="str">
        <f>IF(AND('Mapa final'!$K$94="Muy Baja",'Mapa final'!$O$94="Menor"),CONCATENATE("R",'Mapa final'!$A$94),"")</f>
        <v/>
      </c>
      <c r="AC96" s="464"/>
      <c r="AD96" s="470" t="str">
        <f>IF(AND('Mapa final'!$K$82="Muy Baja",'Mapa final'!$O$82="Moderado"),CONCATENATE("R",'Mapa final'!$A$82),"")</f>
        <v>R26</v>
      </c>
      <c r="AE96" s="468"/>
      <c r="AF96" s="468" t="str">
        <f>IF(AND('Mapa final'!$K$85="Muy Baja",'Mapa final'!$O$85="Moderado"),CONCATENATE("R",'Mapa final'!$A$85),"")</f>
        <v/>
      </c>
      <c r="AG96" s="468"/>
      <c r="AH96" s="468" t="str">
        <f>IF(AND('Mapa final'!$K$88="Muy Baja",'Mapa final'!$O$88="Moderado"),CONCATENATE("R",'Mapa final'!$A$88),"")</f>
        <v/>
      </c>
      <c r="AI96" s="468"/>
      <c r="AJ96" s="468" t="str">
        <f>IF(AND('Mapa final'!$K$91="Muy Baja",'Mapa final'!$O$91="Moderado"),CONCATENATE("R",'Mapa final'!$A$91),"")</f>
        <v/>
      </c>
      <c r="AK96" s="468"/>
      <c r="AL96" s="468" t="str">
        <f>IF(AND('Mapa final'!$K$94="Muy Baja",'Mapa final'!$O$94="Moderado"),CONCATENATE("R",'Mapa final'!$A$94),"")</f>
        <v/>
      </c>
      <c r="AM96" s="469"/>
      <c r="AN96" s="473" t="str">
        <f>IF(AND('Mapa final'!$K$82="Muy Baja",'Mapa final'!$O$82="Mayor"),CONCATENATE("R",'Mapa final'!$A$82),"")</f>
        <v/>
      </c>
      <c r="AO96" s="471"/>
      <c r="AP96" s="471" t="str">
        <f>IF(AND('Mapa final'!$K$85="Muy Baja",'Mapa final'!$O$85="Mayor"),CONCATENATE("R",'Mapa final'!$A$85),"")</f>
        <v/>
      </c>
      <c r="AQ96" s="471"/>
      <c r="AR96" s="471" t="str">
        <f>IF(AND('Mapa final'!$K$88="Muy Baja",'Mapa final'!$O$88="Mayor"),CONCATENATE("R",'Mapa final'!$A$88),"")</f>
        <v/>
      </c>
      <c r="AS96" s="471"/>
      <c r="AT96" s="471" t="str">
        <f>IF(AND('Mapa final'!$K$91="Muy Baja",'Mapa final'!$O$91="Mayor"),CONCATENATE("R",'Mapa final'!$A$91),"")</f>
        <v/>
      </c>
      <c r="AU96" s="471"/>
      <c r="AV96" s="471" t="str">
        <f>IF(AND('Mapa final'!$K$94="Muy Baja",'Mapa final'!$O$94="Mayor"),CONCATENATE("R",'Mapa final'!$A$94),"")</f>
        <v/>
      </c>
      <c r="AW96" s="472"/>
      <c r="AX96" s="467" t="str">
        <f>IF(AND('Mapa final'!$K$82="Muy Baja",'Mapa final'!$O$82="Catastrófico"),CONCATENATE("R",'Mapa final'!$A$82),"")</f>
        <v/>
      </c>
      <c r="AY96" s="465"/>
      <c r="AZ96" s="465" t="str">
        <f>IF(AND('Mapa final'!$K$85="Muy Baja",'Mapa final'!$O$85="Catastrófico"),CONCATENATE("R",'Mapa final'!$A$85),"")</f>
        <v/>
      </c>
      <c r="BA96" s="465"/>
      <c r="BB96" s="465" t="str">
        <f>IF(AND('Mapa final'!$K$88="Muy Baja",'Mapa final'!$O$88="Catastrófico"),CONCATENATE("R",'Mapa final'!$A$88),"")</f>
        <v/>
      </c>
      <c r="BC96" s="465"/>
      <c r="BD96" s="465" t="str">
        <f>IF(AND('Mapa final'!$K$91="Muy Baja",'Mapa final'!$O$91="Catastrófico"),CONCATENATE("R",'Mapa final'!$A$91),"")</f>
        <v/>
      </c>
      <c r="BE96" s="465"/>
      <c r="BF96" s="465" t="str">
        <f>IF(AND('Mapa final'!$K$94="Muy Baja",'Mapa final'!$O$94="Catastrófico"),CONCATENATE("R",'Mapa final'!$A$94),"")</f>
        <v/>
      </c>
      <c r="BG96" s="466"/>
      <c r="BH96" s="55"/>
      <c r="BI96" s="526"/>
      <c r="BJ96" s="527"/>
      <c r="BK96" s="527"/>
      <c r="BL96" s="527"/>
      <c r="BM96" s="527"/>
      <c r="BN96" s="528"/>
      <c r="BO96" s="55"/>
      <c r="BP96" s="55"/>
      <c r="BQ96" s="55"/>
      <c r="BR96" s="55"/>
      <c r="BS96" s="55"/>
      <c r="BT96" s="55"/>
      <c r="BU96" s="55"/>
      <c r="BV96" s="55"/>
      <c r="BW96" s="55"/>
      <c r="BX96" s="55"/>
      <c r="BY96" s="55"/>
      <c r="BZ96" s="55"/>
      <c r="CA96" s="55"/>
      <c r="CB96" s="55"/>
      <c r="CC96" s="55"/>
      <c r="CD96" s="55"/>
      <c r="CE96" s="55"/>
      <c r="CF96" s="55"/>
      <c r="CG96" s="55"/>
      <c r="CH96" s="55"/>
      <c r="CI96" s="55"/>
      <c r="CJ96" s="55"/>
      <c r="CK96" s="55"/>
      <c r="CL96" s="55"/>
      <c r="CM96" s="55"/>
      <c r="CN96" s="55"/>
      <c r="CO96" s="55"/>
      <c r="CP96" s="55"/>
      <c r="CQ96" s="55"/>
      <c r="CR96" s="55"/>
      <c r="CS96" s="55"/>
      <c r="CT96" s="55"/>
      <c r="CU96" s="55"/>
      <c r="CV96" s="55"/>
    </row>
    <row r="97" spans="1:100" ht="15" customHeight="1" thickBot="1" x14ac:dyDescent="0.3">
      <c r="A97" s="55"/>
      <c r="B97" s="316"/>
      <c r="C97" s="316"/>
      <c r="D97" s="317"/>
      <c r="E97" s="534"/>
      <c r="F97" s="535"/>
      <c r="G97" s="535"/>
      <c r="H97" s="535"/>
      <c r="I97" s="539"/>
      <c r="J97" s="462"/>
      <c r="K97" s="463"/>
      <c r="L97" s="463"/>
      <c r="M97" s="463"/>
      <c r="N97" s="463"/>
      <c r="O97" s="463"/>
      <c r="P97" s="463"/>
      <c r="Q97" s="463"/>
      <c r="R97" s="463"/>
      <c r="S97" s="464"/>
      <c r="T97" s="462"/>
      <c r="U97" s="463"/>
      <c r="V97" s="463"/>
      <c r="W97" s="463"/>
      <c r="X97" s="463"/>
      <c r="Y97" s="463"/>
      <c r="Z97" s="463"/>
      <c r="AA97" s="463"/>
      <c r="AB97" s="463"/>
      <c r="AC97" s="464"/>
      <c r="AD97" s="470"/>
      <c r="AE97" s="468"/>
      <c r="AF97" s="468"/>
      <c r="AG97" s="468"/>
      <c r="AH97" s="468"/>
      <c r="AI97" s="468"/>
      <c r="AJ97" s="468"/>
      <c r="AK97" s="468"/>
      <c r="AL97" s="468"/>
      <c r="AM97" s="469"/>
      <c r="AN97" s="473"/>
      <c r="AO97" s="471"/>
      <c r="AP97" s="471"/>
      <c r="AQ97" s="471"/>
      <c r="AR97" s="471"/>
      <c r="AS97" s="471"/>
      <c r="AT97" s="471"/>
      <c r="AU97" s="471"/>
      <c r="AV97" s="471"/>
      <c r="AW97" s="472"/>
      <c r="AX97" s="467"/>
      <c r="AY97" s="465"/>
      <c r="AZ97" s="465"/>
      <c r="BA97" s="465"/>
      <c r="BB97" s="465"/>
      <c r="BC97" s="465"/>
      <c r="BD97" s="465"/>
      <c r="BE97" s="465"/>
      <c r="BF97" s="465"/>
      <c r="BG97" s="466"/>
      <c r="BH97" s="55"/>
      <c r="BI97" s="529"/>
      <c r="BJ97" s="530"/>
      <c r="BK97" s="530"/>
      <c r="BL97" s="530"/>
      <c r="BM97" s="530"/>
      <c r="BN97" s="531"/>
      <c r="BO97" s="55"/>
      <c r="BP97" s="55"/>
      <c r="BQ97" s="55"/>
      <c r="BR97" s="55"/>
      <c r="BS97" s="55"/>
      <c r="BT97" s="55"/>
      <c r="BU97" s="55"/>
      <c r="BV97" s="55"/>
      <c r="BW97" s="55"/>
      <c r="BX97" s="55"/>
      <c r="BY97" s="55"/>
      <c r="BZ97" s="55"/>
      <c r="CA97" s="55"/>
      <c r="CB97" s="55"/>
      <c r="CC97" s="55"/>
      <c r="CD97" s="55"/>
      <c r="CE97" s="55"/>
      <c r="CF97" s="55"/>
      <c r="CG97" s="55"/>
      <c r="CH97" s="55"/>
      <c r="CI97" s="55"/>
      <c r="CJ97" s="55"/>
      <c r="CK97" s="55"/>
      <c r="CL97" s="55"/>
      <c r="CM97" s="55"/>
      <c r="CN97" s="55"/>
      <c r="CO97" s="55"/>
      <c r="CP97" s="55"/>
      <c r="CQ97" s="55"/>
      <c r="CR97" s="55"/>
      <c r="CS97" s="55"/>
      <c r="CT97" s="55"/>
      <c r="CU97" s="55"/>
      <c r="CV97" s="55"/>
    </row>
    <row r="98" spans="1:100" ht="15" customHeight="1" x14ac:dyDescent="0.25">
      <c r="A98" s="55"/>
      <c r="B98" s="316"/>
      <c r="C98" s="316"/>
      <c r="D98" s="317"/>
      <c r="E98" s="534"/>
      <c r="F98" s="535"/>
      <c r="G98" s="535"/>
      <c r="H98" s="535"/>
      <c r="I98" s="539"/>
      <c r="J98" s="462" t="str">
        <f>IF(AND('Mapa final'!$K$97="Muy Baja",'Mapa final'!$O$97="Leve"),CONCATENATE("R",'Mapa final'!$A$97),"")</f>
        <v/>
      </c>
      <c r="K98" s="463"/>
      <c r="L98" s="463" t="e">
        <f>IF(AND('Mapa final'!#REF!="Muy Baja",'Mapa final'!#REF!="Leve"),CONCATENATE("R",'Mapa final'!#REF!),"")</f>
        <v>#REF!</v>
      </c>
      <c r="M98" s="463"/>
      <c r="N98" s="463" t="str">
        <f>IF(AND('Mapa final'!$K$100="Muy Baja",'Mapa final'!$O$100="Leve"),CONCATENATE("R",'Mapa final'!$A$100),"")</f>
        <v/>
      </c>
      <c r="O98" s="463"/>
      <c r="P98" s="463" t="str">
        <f>IF(AND('Mapa final'!$K$103="Muy Baja",'Mapa final'!$O$103="Leve"),CONCATENATE("R",'Mapa final'!$A$103),"")</f>
        <v/>
      </c>
      <c r="Q98" s="463"/>
      <c r="R98" s="463" t="str">
        <f>IF(AND('Mapa final'!$K$106="Muy Baja",'Mapa final'!$O$106="Leve"),CONCATENATE("R",'Mapa final'!$A$106),"")</f>
        <v/>
      </c>
      <c r="S98" s="464"/>
      <c r="T98" s="462" t="str">
        <f>IF(AND('Mapa final'!$K$97="Muy Baja",'Mapa final'!$O$97="Menor"),CONCATENATE("R",'Mapa final'!$A$97),"")</f>
        <v/>
      </c>
      <c r="U98" s="463"/>
      <c r="V98" s="463" t="e">
        <f>IF(AND('Mapa final'!#REF!="Muy Baja",'Mapa final'!#REF!="Menor"),CONCATENATE("R",'Mapa final'!#REF!),"")</f>
        <v>#REF!</v>
      </c>
      <c r="W98" s="463"/>
      <c r="X98" s="463" t="str">
        <f>IF(AND('Mapa final'!$K$100="Muy Baja",'Mapa final'!$O$100="Menor"),CONCATENATE("R",'Mapa final'!$A$100),"")</f>
        <v/>
      </c>
      <c r="Y98" s="463"/>
      <c r="Z98" s="463" t="str">
        <f>IF(AND('Mapa final'!$K$103="Muy Baja",'Mapa final'!$O$103="Menor"),CONCATENATE("R",'Mapa final'!$A$103),"")</f>
        <v/>
      </c>
      <c r="AA98" s="463"/>
      <c r="AB98" s="463" t="str">
        <f>IF(AND('Mapa final'!$K$106="Muy Baja",'Mapa final'!$O$106="Menor"),CONCATENATE("R",'Mapa final'!$A$106),"")</f>
        <v/>
      </c>
      <c r="AC98" s="464"/>
      <c r="AD98" s="470" t="str">
        <f>IF(AND('Mapa final'!$K$97="Muy Baja",'Mapa final'!$O$97="Moderado"),CONCATENATE("R",'Mapa final'!$A$97),"")</f>
        <v/>
      </c>
      <c r="AE98" s="468"/>
      <c r="AF98" s="468" t="e">
        <f>IF(AND('Mapa final'!#REF!="Muy Baja",'Mapa final'!#REF!="Moderado"),CONCATENATE("R",'Mapa final'!#REF!),"")</f>
        <v>#REF!</v>
      </c>
      <c r="AG98" s="468"/>
      <c r="AH98" s="468" t="str">
        <f>IF(AND('Mapa final'!$K$100="Muy Baja",'Mapa final'!$O$100="Moderado"),CONCATENATE("R",'Mapa final'!$A$100),"")</f>
        <v/>
      </c>
      <c r="AI98" s="468"/>
      <c r="AJ98" s="468" t="str">
        <f>IF(AND('Mapa final'!$K$103="Muy Baja",'Mapa final'!$O$103="Moderado"),CONCATENATE("R",'Mapa final'!$A$103),"")</f>
        <v/>
      </c>
      <c r="AK98" s="468"/>
      <c r="AL98" s="468" t="str">
        <f>IF(AND('Mapa final'!$K$106="Muy Baja",'Mapa final'!$O$106="Moderado"),CONCATENATE("R",'Mapa final'!$A$106),"")</f>
        <v/>
      </c>
      <c r="AM98" s="469"/>
      <c r="AN98" s="473" t="str">
        <f>IF(AND('Mapa final'!$K$97="Muy Baja",'Mapa final'!$O$97="Mayor"),CONCATENATE("R",'Mapa final'!$A$97),"")</f>
        <v/>
      </c>
      <c r="AO98" s="471"/>
      <c r="AP98" s="471" t="e">
        <f>IF(AND('Mapa final'!#REF!="Muy Baja",'Mapa final'!#REF!="Mayor"),CONCATENATE("R",'Mapa final'!#REF!),"")</f>
        <v>#REF!</v>
      </c>
      <c r="AQ98" s="471"/>
      <c r="AR98" s="471" t="str">
        <f>IF(AND('Mapa final'!$K$100="Muy Baja",'Mapa final'!$O$100="Mayor"),CONCATENATE("R",'Mapa final'!$A$100),"")</f>
        <v/>
      </c>
      <c r="AS98" s="471"/>
      <c r="AT98" s="471" t="str">
        <f>IF(AND('Mapa final'!$K$103="Muy Baja",'Mapa final'!$O$103="Mayor"),CONCATENATE("R",'Mapa final'!$A$103),"")</f>
        <v/>
      </c>
      <c r="AU98" s="471"/>
      <c r="AV98" s="471" t="str">
        <f>IF(AND('Mapa final'!$K$106="Muy Baja",'Mapa final'!$O$106="Mayor"),CONCATENATE("R",'Mapa final'!$A$106),"")</f>
        <v/>
      </c>
      <c r="AW98" s="472"/>
      <c r="AX98" s="467" t="str">
        <f>IF(AND('Mapa final'!$K$97="Muy Baja",'Mapa final'!$O$97="Catastrófico"),CONCATENATE("R",'Mapa final'!$A$97),"")</f>
        <v/>
      </c>
      <c r="AY98" s="465"/>
      <c r="AZ98" s="465" t="e">
        <f>IF(AND('Mapa final'!#REF!="Muy Baja",'Mapa final'!#REF!="Catastrófico"),CONCATENATE("R",'Mapa final'!#REF!),"")</f>
        <v>#REF!</v>
      </c>
      <c r="BA98" s="465"/>
      <c r="BB98" s="465" t="str">
        <f>IF(AND('Mapa final'!$K$100="Muy Baja",'Mapa final'!$O$100="Catastrófico"),CONCATENATE("R",'Mapa final'!$A$100),"")</f>
        <v/>
      </c>
      <c r="BC98" s="465"/>
      <c r="BD98" s="465" t="str">
        <f>IF(AND('Mapa final'!$K$103="Muy Baja",'Mapa final'!$O$103="Catastrófico"),CONCATENATE("R",'Mapa final'!$A$103),"")</f>
        <v/>
      </c>
      <c r="BE98" s="465"/>
      <c r="BF98" s="465" t="str">
        <f>IF(AND('Mapa final'!$K$106="Muy Baja",'Mapa final'!$O$106="Catastrófico"),CONCATENATE("R",'Mapa final'!$A$106),"")</f>
        <v/>
      </c>
      <c r="BG98" s="466"/>
      <c r="BH98" s="55"/>
      <c r="BI98" s="55"/>
      <c r="BJ98" s="55"/>
      <c r="BK98" s="55"/>
      <c r="BL98" s="55"/>
      <c r="BM98" s="55"/>
      <c r="BN98" s="55"/>
      <c r="BO98" s="55"/>
      <c r="BP98" s="55"/>
      <c r="BQ98" s="55"/>
      <c r="BR98" s="55"/>
      <c r="BS98" s="55"/>
      <c r="BT98" s="55"/>
      <c r="BU98" s="55"/>
      <c r="BV98" s="55"/>
      <c r="BW98" s="55"/>
      <c r="BX98" s="55"/>
      <c r="BY98" s="55"/>
      <c r="BZ98" s="55"/>
      <c r="CA98" s="55"/>
      <c r="CB98" s="55"/>
      <c r="CC98" s="55"/>
      <c r="CD98" s="55"/>
      <c r="CE98" s="55"/>
      <c r="CF98" s="55"/>
      <c r="CG98" s="55"/>
      <c r="CH98" s="55"/>
      <c r="CI98" s="55"/>
      <c r="CJ98" s="55"/>
      <c r="CK98" s="55"/>
      <c r="CL98" s="55"/>
      <c r="CM98" s="55"/>
      <c r="CN98" s="55"/>
      <c r="CO98" s="55"/>
      <c r="CP98" s="55"/>
      <c r="CQ98" s="55"/>
      <c r="CR98" s="55"/>
      <c r="CS98" s="55"/>
      <c r="CT98" s="55"/>
      <c r="CU98" s="55"/>
      <c r="CV98" s="55"/>
    </row>
    <row r="99" spans="1:100" ht="15" customHeight="1" x14ac:dyDescent="0.25">
      <c r="A99" s="55"/>
      <c r="B99" s="316"/>
      <c r="C99" s="316"/>
      <c r="D99" s="317"/>
      <c r="E99" s="534"/>
      <c r="F99" s="535"/>
      <c r="G99" s="535"/>
      <c r="H99" s="535"/>
      <c r="I99" s="539"/>
      <c r="J99" s="462"/>
      <c r="K99" s="463"/>
      <c r="L99" s="463"/>
      <c r="M99" s="463"/>
      <c r="N99" s="463"/>
      <c r="O99" s="463"/>
      <c r="P99" s="463"/>
      <c r="Q99" s="463"/>
      <c r="R99" s="463"/>
      <c r="S99" s="464"/>
      <c r="T99" s="462"/>
      <c r="U99" s="463"/>
      <c r="V99" s="463"/>
      <c r="W99" s="463"/>
      <c r="X99" s="463"/>
      <c r="Y99" s="463"/>
      <c r="Z99" s="463"/>
      <c r="AA99" s="463"/>
      <c r="AB99" s="463"/>
      <c r="AC99" s="464"/>
      <c r="AD99" s="470"/>
      <c r="AE99" s="468"/>
      <c r="AF99" s="468"/>
      <c r="AG99" s="468"/>
      <c r="AH99" s="468"/>
      <c r="AI99" s="468"/>
      <c r="AJ99" s="468"/>
      <c r="AK99" s="468"/>
      <c r="AL99" s="468"/>
      <c r="AM99" s="469"/>
      <c r="AN99" s="473"/>
      <c r="AO99" s="471"/>
      <c r="AP99" s="471"/>
      <c r="AQ99" s="471"/>
      <c r="AR99" s="471"/>
      <c r="AS99" s="471"/>
      <c r="AT99" s="471"/>
      <c r="AU99" s="471"/>
      <c r="AV99" s="471"/>
      <c r="AW99" s="472"/>
      <c r="AX99" s="467"/>
      <c r="AY99" s="465"/>
      <c r="AZ99" s="465"/>
      <c r="BA99" s="465"/>
      <c r="BB99" s="465"/>
      <c r="BC99" s="465"/>
      <c r="BD99" s="465"/>
      <c r="BE99" s="465"/>
      <c r="BF99" s="465"/>
      <c r="BG99" s="466"/>
      <c r="BH99" s="55"/>
      <c r="BI99" s="55"/>
      <c r="BJ99" s="55"/>
      <c r="BK99" s="55"/>
      <c r="BL99" s="55"/>
      <c r="BM99" s="55"/>
      <c r="BN99" s="55"/>
      <c r="BO99" s="55"/>
      <c r="BP99" s="55"/>
      <c r="BQ99" s="55"/>
      <c r="BR99" s="55"/>
      <c r="BS99" s="55"/>
      <c r="BT99" s="55"/>
      <c r="BU99" s="55"/>
      <c r="BV99" s="55"/>
      <c r="BW99" s="55"/>
      <c r="BX99" s="55"/>
      <c r="BY99" s="55"/>
      <c r="BZ99" s="55"/>
      <c r="CA99" s="55"/>
      <c r="CB99" s="55"/>
      <c r="CC99" s="55"/>
      <c r="CD99" s="55"/>
      <c r="CE99" s="55"/>
      <c r="CF99" s="55"/>
      <c r="CG99" s="55"/>
      <c r="CH99" s="55"/>
      <c r="CI99" s="55"/>
      <c r="CJ99" s="55"/>
      <c r="CK99" s="55"/>
      <c r="CL99" s="55"/>
      <c r="CM99" s="55"/>
      <c r="CN99" s="55"/>
      <c r="CO99" s="55"/>
      <c r="CP99" s="55"/>
      <c r="CQ99" s="55"/>
      <c r="CR99" s="55"/>
      <c r="CS99" s="55"/>
      <c r="CT99" s="55"/>
      <c r="CU99" s="55"/>
      <c r="CV99" s="55"/>
    </row>
    <row r="100" spans="1:100" ht="15" customHeight="1" x14ac:dyDescent="0.25">
      <c r="A100" s="55"/>
      <c r="B100" s="316"/>
      <c r="C100" s="316"/>
      <c r="D100" s="317"/>
      <c r="E100" s="534"/>
      <c r="F100" s="535"/>
      <c r="G100" s="535"/>
      <c r="H100" s="535"/>
      <c r="I100" s="539"/>
      <c r="J100" s="462" t="str">
        <f>IF(AND('Mapa final'!$K$109="Muy Baja",'Mapa final'!$O$109="Leve"),CONCATENATE("R",'Mapa final'!$A$109),"")</f>
        <v/>
      </c>
      <c r="K100" s="463"/>
      <c r="L100" s="463" t="str">
        <f>IF(AND('Mapa final'!$K$112="Muy Baja",'Mapa final'!$O$112="Leve"),CONCATENATE("R",'Mapa final'!$A$112),"")</f>
        <v/>
      </c>
      <c r="M100" s="463"/>
      <c r="N100" s="463" t="str">
        <f>IF(AND('Mapa final'!$K$115="Muy Baja",'Mapa final'!$O$115="Leve"),CONCATENATE("R",'Mapa final'!$A$115),"")</f>
        <v/>
      </c>
      <c r="O100" s="463"/>
      <c r="P100" s="463" t="str">
        <f>IF(AND('Mapa final'!$K$118="Muy Baja",'Mapa final'!$O$118="Leve"),CONCATENATE("R",'Mapa final'!$A$118),"")</f>
        <v/>
      </c>
      <c r="Q100" s="463"/>
      <c r="R100" s="463" t="str">
        <f>IF(AND('Mapa final'!$K$121="Muy Baja",'Mapa final'!$O$121="Leve"),CONCATENATE("R",'Mapa final'!$A$121),"")</f>
        <v/>
      </c>
      <c r="S100" s="464"/>
      <c r="T100" s="462" t="str">
        <f>IF(AND('Mapa final'!$K$109="Muy Baja",'Mapa final'!$O$109="Menor"),CONCATENATE("R",'Mapa final'!$A$109),"")</f>
        <v/>
      </c>
      <c r="U100" s="463"/>
      <c r="V100" s="463" t="str">
        <f>IF(AND('Mapa final'!$K$112="Muy Baja",'Mapa final'!$O$112="Menor"),CONCATENATE("R",'Mapa final'!$A$112),"")</f>
        <v/>
      </c>
      <c r="W100" s="463"/>
      <c r="X100" s="463" t="str">
        <f>IF(AND('Mapa final'!$K$115="Muy Baja",'Mapa final'!$O$115="Menor"),CONCATENATE("R",'Mapa final'!$A$115),"")</f>
        <v/>
      </c>
      <c r="Y100" s="463"/>
      <c r="Z100" s="463" t="str">
        <f>IF(AND('Mapa final'!$K$118="Muy Baja",'Mapa final'!$O$118="Menor"),CONCATENATE("R",'Mapa final'!$A$118),"")</f>
        <v/>
      </c>
      <c r="AA100" s="463"/>
      <c r="AB100" s="463" t="str">
        <f>IF(AND('Mapa final'!$K$121="Muy Baja",'Mapa final'!$O$121="Menor"),CONCATENATE("R",'Mapa final'!$A$121),"")</f>
        <v/>
      </c>
      <c r="AC100" s="464"/>
      <c r="AD100" s="470" t="str">
        <f>IF(AND('Mapa final'!$K$109="Muy Baja",'Mapa final'!$O$109="Moderado"),CONCATENATE("R",'Mapa final'!$A$109),"")</f>
        <v/>
      </c>
      <c r="AE100" s="468"/>
      <c r="AF100" s="468" t="str">
        <f>IF(AND('Mapa final'!$K$112="Muy Baja",'Mapa final'!$O$112="Moderado"),CONCATENATE("R",'Mapa final'!$A$112),"")</f>
        <v/>
      </c>
      <c r="AG100" s="468"/>
      <c r="AH100" s="468" t="str">
        <f>IF(AND('Mapa final'!$K$115="Muy Baja",'Mapa final'!$O$115="Moderado"),CONCATENATE("R",'Mapa final'!$A$115),"")</f>
        <v/>
      </c>
      <c r="AI100" s="468"/>
      <c r="AJ100" s="468" t="str">
        <f>IF(AND('Mapa final'!$K$118="Muy Baja",'Mapa final'!$O$118="Moderado"),CONCATENATE("R",'Mapa final'!$A$118),"")</f>
        <v/>
      </c>
      <c r="AK100" s="468"/>
      <c r="AL100" s="468" t="str">
        <f>IF(AND('Mapa final'!$K$121="Muy Baja",'Mapa final'!$O$121="Moderado"),CONCATENATE("R",'Mapa final'!$A$121),"")</f>
        <v/>
      </c>
      <c r="AM100" s="469"/>
      <c r="AN100" s="473" t="str">
        <f>IF(AND('Mapa final'!$K$109="Muy Baja",'Mapa final'!$O$109="Mayor"),CONCATENATE("R",'Mapa final'!$A$109),"")</f>
        <v/>
      </c>
      <c r="AO100" s="471"/>
      <c r="AP100" s="471" t="str">
        <f>IF(AND('Mapa final'!$K$112="Muy Baja",'Mapa final'!$O$112="Mayor"),CONCATENATE("R",'Mapa final'!$A$112),"")</f>
        <v/>
      </c>
      <c r="AQ100" s="471"/>
      <c r="AR100" s="471" t="str">
        <f>IF(AND('Mapa final'!$K$115="Muy Baja",'Mapa final'!$O$115="Mayor"),CONCATENATE("R",'Mapa final'!$A$115),"")</f>
        <v/>
      </c>
      <c r="AS100" s="471"/>
      <c r="AT100" s="471" t="str">
        <f>IF(AND('Mapa final'!$K$118="Muy Baja",'Mapa final'!$O$118="Mayor"),CONCATENATE("R",'Mapa final'!$A$118),"")</f>
        <v/>
      </c>
      <c r="AU100" s="471"/>
      <c r="AV100" s="471" t="str">
        <f>IF(AND('Mapa final'!$K$121="Muy Baja",'Mapa final'!$O$121="Mayor"),CONCATENATE("R",'Mapa final'!$A$121),"")</f>
        <v/>
      </c>
      <c r="AW100" s="472"/>
      <c r="AX100" s="467" t="str">
        <f>IF(AND('Mapa final'!$K$109="Muy Baja",'Mapa final'!$O$109="Catastrófico"),CONCATENATE("R",'Mapa final'!$A$109),"")</f>
        <v/>
      </c>
      <c r="AY100" s="465"/>
      <c r="AZ100" s="465" t="str">
        <f>IF(AND('Mapa final'!$K$112="Muy Baja",'Mapa final'!$O$112="Catastrófico"),CONCATENATE("R",'Mapa final'!$A$112),"")</f>
        <v/>
      </c>
      <c r="BA100" s="465"/>
      <c r="BB100" s="465" t="str">
        <f>IF(AND('Mapa final'!$K$115="Muy Baja",'Mapa final'!$O$115="Catastrófico"),CONCATENATE("R",'Mapa final'!$A$115),"")</f>
        <v/>
      </c>
      <c r="BC100" s="465"/>
      <c r="BD100" s="465" t="str">
        <f>IF(AND('Mapa final'!$K$118="Muy Baja",'Mapa final'!$O$118="Catastrófico"),CONCATENATE("R",'Mapa final'!$A$118),"")</f>
        <v/>
      </c>
      <c r="BE100" s="465"/>
      <c r="BF100" s="465" t="str">
        <f>IF(AND('Mapa final'!$K$121="Muy Baja",'Mapa final'!$O$121="Catastrófico"),CONCATENATE("R",'Mapa final'!$A$121),"")</f>
        <v/>
      </c>
      <c r="BG100" s="466"/>
      <c r="BH100" s="55"/>
      <c r="BI100" s="55"/>
      <c r="BJ100" s="55"/>
      <c r="BK100" s="55"/>
      <c r="BL100" s="55"/>
      <c r="BM100" s="55"/>
      <c r="BN100" s="55"/>
      <c r="BO100" s="55"/>
      <c r="BP100" s="55"/>
      <c r="BQ100" s="55"/>
      <c r="BR100" s="55"/>
      <c r="BS100" s="55"/>
      <c r="BT100" s="55"/>
      <c r="BU100" s="55"/>
      <c r="BV100" s="55"/>
      <c r="BW100" s="55"/>
      <c r="BX100" s="55"/>
      <c r="BY100" s="55"/>
      <c r="BZ100" s="55"/>
      <c r="CA100" s="55"/>
      <c r="CB100" s="55"/>
      <c r="CC100" s="55"/>
      <c r="CD100" s="55"/>
      <c r="CE100" s="55"/>
      <c r="CF100" s="55"/>
      <c r="CG100" s="55"/>
      <c r="CH100" s="55"/>
      <c r="CI100" s="55"/>
      <c r="CJ100" s="55"/>
      <c r="CK100" s="55"/>
      <c r="CL100" s="55"/>
      <c r="CM100" s="55"/>
      <c r="CN100" s="55"/>
      <c r="CO100" s="55"/>
      <c r="CP100" s="55"/>
      <c r="CQ100" s="55"/>
      <c r="CR100" s="55"/>
      <c r="CS100" s="55"/>
      <c r="CT100" s="55"/>
      <c r="CU100" s="55"/>
      <c r="CV100" s="55"/>
    </row>
    <row r="101" spans="1:100" ht="15" customHeight="1" x14ac:dyDescent="0.25">
      <c r="A101" s="55"/>
      <c r="B101" s="316"/>
      <c r="C101" s="316"/>
      <c r="D101" s="317"/>
      <c r="E101" s="534"/>
      <c r="F101" s="535"/>
      <c r="G101" s="535"/>
      <c r="H101" s="535"/>
      <c r="I101" s="539"/>
      <c r="J101" s="462"/>
      <c r="K101" s="463"/>
      <c r="L101" s="463"/>
      <c r="M101" s="463"/>
      <c r="N101" s="463"/>
      <c r="O101" s="463"/>
      <c r="P101" s="463"/>
      <c r="Q101" s="463"/>
      <c r="R101" s="463"/>
      <c r="S101" s="464"/>
      <c r="T101" s="462"/>
      <c r="U101" s="463"/>
      <c r="V101" s="463"/>
      <c r="W101" s="463"/>
      <c r="X101" s="463"/>
      <c r="Y101" s="463"/>
      <c r="Z101" s="463"/>
      <c r="AA101" s="463"/>
      <c r="AB101" s="463"/>
      <c r="AC101" s="464"/>
      <c r="AD101" s="470"/>
      <c r="AE101" s="468"/>
      <c r="AF101" s="468"/>
      <c r="AG101" s="468"/>
      <c r="AH101" s="468"/>
      <c r="AI101" s="468"/>
      <c r="AJ101" s="468"/>
      <c r="AK101" s="468"/>
      <c r="AL101" s="468"/>
      <c r="AM101" s="469"/>
      <c r="AN101" s="473"/>
      <c r="AO101" s="471"/>
      <c r="AP101" s="471"/>
      <c r="AQ101" s="471"/>
      <c r="AR101" s="471"/>
      <c r="AS101" s="471"/>
      <c r="AT101" s="471"/>
      <c r="AU101" s="471"/>
      <c r="AV101" s="471"/>
      <c r="AW101" s="472"/>
      <c r="AX101" s="467"/>
      <c r="AY101" s="465"/>
      <c r="AZ101" s="465"/>
      <c r="BA101" s="465"/>
      <c r="BB101" s="465"/>
      <c r="BC101" s="465"/>
      <c r="BD101" s="465"/>
      <c r="BE101" s="465"/>
      <c r="BF101" s="465"/>
      <c r="BG101" s="466"/>
      <c r="BH101" s="55"/>
      <c r="BI101" s="55"/>
      <c r="BJ101" s="55"/>
      <c r="BK101" s="55"/>
      <c r="BL101" s="55"/>
      <c r="BM101" s="55"/>
      <c r="BN101" s="55"/>
      <c r="BO101" s="55"/>
      <c r="BP101" s="55"/>
      <c r="BQ101" s="55"/>
      <c r="BR101" s="55"/>
      <c r="BS101" s="55"/>
      <c r="BT101" s="55"/>
      <c r="BU101" s="55"/>
      <c r="BV101" s="55"/>
      <c r="BW101" s="55"/>
      <c r="BX101" s="55"/>
      <c r="BY101" s="55"/>
      <c r="BZ101" s="55"/>
      <c r="CA101" s="55"/>
      <c r="CB101" s="55"/>
      <c r="CC101" s="55"/>
      <c r="CD101" s="55"/>
      <c r="CE101" s="55"/>
      <c r="CF101" s="55"/>
      <c r="CG101" s="55"/>
      <c r="CH101" s="55"/>
      <c r="CI101" s="55"/>
      <c r="CJ101" s="55"/>
      <c r="CK101" s="55"/>
      <c r="CL101" s="55"/>
      <c r="CM101" s="55"/>
      <c r="CN101" s="55"/>
      <c r="CO101" s="55"/>
      <c r="CP101" s="55"/>
      <c r="CQ101" s="55"/>
      <c r="CR101" s="55"/>
      <c r="CS101" s="55"/>
      <c r="CT101" s="55"/>
      <c r="CU101" s="55"/>
      <c r="CV101" s="55"/>
    </row>
    <row r="102" spans="1:100" ht="15" customHeight="1" x14ac:dyDescent="0.25">
      <c r="A102" s="55"/>
      <c r="B102" s="316"/>
      <c r="C102" s="316"/>
      <c r="D102" s="317"/>
      <c r="E102" s="534"/>
      <c r="F102" s="535"/>
      <c r="G102" s="535"/>
      <c r="H102" s="535"/>
      <c r="I102" s="539"/>
      <c r="J102" s="462" t="str">
        <f>IF(AND('Mapa final'!$K$124="Muy Baja",'Mapa final'!$O$124="Leve"),CONCATENATE("R",'Mapa final'!$A$124),"")</f>
        <v/>
      </c>
      <c r="K102" s="463"/>
      <c r="L102" s="463" t="str">
        <f>IF(AND('Mapa final'!$K$127="Muy Baja",'Mapa final'!$O$127="Leve"),CONCATENATE("R",'Mapa final'!$A$127),"")</f>
        <v/>
      </c>
      <c r="M102" s="463"/>
      <c r="N102" s="463" t="str">
        <f>IF(AND('Mapa final'!$K$130="Muy Baja",'Mapa final'!$O$130="Leve"),CONCATENATE("R",'Mapa final'!$A$130),"")</f>
        <v/>
      </c>
      <c r="O102" s="463"/>
      <c r="P102" s="463" t="str">
        <f>IF(AND('Mapa final'!$K$133="Muy Baja",'Mapa final'!$O$133="Leve"),CONCATENATE("R",'Mapa final'!$A$133),"")</f>
        <v/>
      </c>
      <c r="Q102" s="463"/>
      <c r="R102" s="463" t="str">
        <f>IF(AND('Mapa final'!$K$136="Muy Baja",'Mapa final'!$O$136="Leve"),CONCATENATE("R",'Mapa final'!$A$136),"")</f>
        <v/>
      </c>
      <c r="S102" s="464"/>
      <c r="T102" s="462" t="str">
        <f>IF(AND('Mapa final'!$K$124="Muy Baja",'Mapa final'!$O$124="Menor"),CONCATENATE("R",'Mapa final'!$A$124),"")</f>
        <v/>
      </c>
      <c r="U102" s="463"/>
      <c r="V102" s="463" t="str">
        <f>IF(AND('Mapa final'!$K$127="Muy Baja",'Mapa final'!$O$127="Menor"),CONCATENATE("R",'Mapa final'!$A$127),"")</f>
        <v/>
      </c>
      <c r="W102" s="463"/>
      <c r="X102" s="463" t="str">
        <f>IF(AND('Mapa final'!$K$130="Muy Baja",'Mapa final'!$O$130="Menor"),CONCATENATE("R",'Mapa final'!$A$130),"")</f>
        <v/>
      </c>
      <c r="Y102" s="463"/>
      <c r="Z102" s="463" t="str">
        <f>IF(AND('Mapa final'!$K$133="Muy Baja",'Mapa final'!$O$133="Menor"),CONCATENATE("R",'Mapa final'!$A$133),"")</f>
        <v/>
      </c>
      <c r="AA102" s="463"/>
      <c r="AB102" s="463" t="str">
        <f>IF(AND('Mapa final'!$K$136="Muy Baja",'Mapa final'!$O$136="Menor"),CONCATENATE("R",'Mapa final'!$A$136),"")</f>
        <v/>
      </c>
      <c r="AC102" s="464"/>
      <c r="AD102" s="470" t="str">
        <f>IF(AND('Mapa final'!$K$124="Muy Baja",'Mapa final'!$O$124="Moderado"),CONCATENATE("R",'Mapa final'!$A$124),"")</f>
        <v/>
      </c>
      <c r="AE102" s="468"/>
      <c r="AF102" s="468" t="str">
        <f>IF(AND('Mapa final'!$K$127="Muy Baja",'Mapa final'!$O$127="Moderado"),CONCATENATE("R",'Mapa final'!$A$127),"")</f>
        <v/>
      </c>
      <c r="AG102" s="468"/>
      <c r="AH102" s="468" t="str">
        <f>IF(AND('Mapa final'!$K$130="Muy Baja",'Mapa final'!$O$130="Moderado"),CONCATENATE("R",'Mapa final'!$A$130),"")</f>
        <v/>
      </c>
      <c r="AI102" s="468"/>
      <c r="AJ102" s="468" t="str">
        <f>IF(AND('Mapa final'!$K$133="Muy Baja",'Mapa final'!$O$133="Moderado"),CONCATENATE("R",'Mapa final'!$A$133),"")</f>
        <v/>
      </c>
      <c r="AK102" s="468"/>
      <c r="AL102" s="468" t="str">
        <f>IF(AND('Mapa final'!$K$136="Muy Baja",'Mapa final'!$O$136="Moderado"),CONCATENATE("R",'Mapa final'!$A$136),"")</f>
        <v/>
      </c>
      <c r="AM102" s="469"/>
      <c r="AN102" s="473" t="str">
        <f>IF(AND('Mapa final'!$K$124="Muy Baja",'Mapa final'!$O$124="Mayor"),CONCATENATE("R",'Mapa final'!$A$124),"")</f>
        <v/>
      </c>
      <c r="AO102" s="471"/>
      <c r="AP102" s="471" t="str">
        <f>IF(AND('Mapa final'!$K$127="Muy Baja",'Mapa final'!$O$127="Mayor"),CONCATENATE("R",'Mapa final'!$A$127),"")</f>
        <v/>
      </c>
      <c r="AQ102" s="471"/>
      <c r="AR102" s="471" t="str">
        <f>IF(AND('Mapa final'!$K$130="Muy Baja",'Mapa final'!$O$130="Mayor"),CONCATENATE("R",'Mapa final'!$A$130),"")</f>
        <v/>
      </c>
      <c r="AS102" s="471"/>
      <c r="AT102" s="471" t="str">
        <f>IF(AND('Mapa final'!$K$133="Muy Baja",'Mapa final'!$O$133="Mayor"),CONCATENATE("R",'Mapa final'!$A$133),"")</f>
        <v/>
      </c>
      <c r="AU102" s="471"/>
      <c r="AV102" s="471" t="str">
        <f>IF(AND('Mapa final'!$K$136="Muy Baja",'Mapa final'!$O$136="Mayor"),CONCATENATE("R",'Mapa final'!$A$136),"")</f>
        <v/>
      </c>
      <c r="AW102" s="472"/>
      <c r="AX102" s="467" t="str">
        <f>IF(AND('Mapa final'!$K$124="Muy Baja",'Mapa final'!$O$124="Catastrófico"),CONCATENATE("R",'Mapa final'!$A$124),"")</f>
        <v/>
      </c>
      <c r="AY102" s="465"/>
      <c r="AZ102" s="465" t="str">
        <f>IF(AND('Mapa final'!$K$127="Muy Baja",'Mapa final'!$O$127="Catastrófico"),CONCATENATE("R",'Mapa final'!$A$127),"")</f>
        <v/>
      </c>
      <c r="BA102" s="465"/>
      <c r="BB102" s="465" t="str">
        <f>IF(AND('Mapa final'!$K$130="Muy Baja",'Mapa final'!$O$130="Catastrófico"),CONCATENATE("R",'Mapa final'!$A$130),"")</f>
        <v/>
      </c>
      <c r="BC102" s="465"/>
      <c r="BD102" s="465" t="str">
        <f>IF(AND('Mapa final'!$K$133="Muy Baja",'Mapa final'!$O$133="Catastrófico"),CONCATENATE("R",'Mapa final'!$A$133),"")</f>
        <v/>
      </c>
      <c r="BE102" s="465"/>
      <c r="BF102" s="465" t="str">
        <f>IF(AND('Mapa final'!$K$136="Muy Baja",'Mapa final'!$O$136="Catastrófico"),CONCATENATE("R",'Mapa final'!$A$136),"")</f>
        <v/>
      </c>
      <c r="BG102" s="466"/>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c r="CP102" s="55"/>
      <c r="CQ102" s="55"/>
      <c r="CR102" s="55"/>
      <c r="CS102" s="55"/>
      <c r="CT102" s="55"/>
      <c r="CU102" s="55"/>
      <c r="CV102" s="55"/>
    </row>
    <row r="103" spans="1:100" ht="15" customHeight="1" x14ac:dyDescent="0.25">
      <c r="A103" s="55"/>
      <c r="B103" s="316"/>
      <c r="C103" s="316"/>
      <c r="D103" s="317"/>
      <c r="E103" s="534"/>
      <c r="F103" s="535"/>
      <c r="G103" s="535"/>
      <c r="H103" s="535"/>
      <c r="I103" s="539"/>
      <c r="J103" s="462"/>
      <c r="K103" s="463"/>
      <c r="L103" s="463"/>
      <c r="M103" s="463"/>
      <c r="N103" s="463"/>
      <c r="O103" s="463"/>
      <c r="P103" s="463"/>
      <c r="Q103" s="463"/>
      <c r="R103" s="463"/>
      <c r="S103" s="464"/>
      <c r="T103" s="462"/>
      <c r="U103" s="463"/>
      <c r="V103" s="463"/>
      <c r="W103" s="463"/>
      <c r="X103" s="463"/>
      <c r="Y103" s="463"/>
      <c r="Z103" s="463"/>
      <c r="AA103" s="463"/>
      <c r="AB103" s="463"/>
      <c r="AC103" s="464"/>
      <c r="AD103" s="470"/>
      <c r="AE103" s="468"/>
      <c r="AF103" s="468"/>
      <c r="AG103" s="468"/>
      <c r="AH103" s="468"/>
      <c r="AI103" s="468"/>
      <c r="AJ103" s="468"/>
      <c r="AK103" s="468"/>
      <c r="AL103" s="468"/>
      <c r="AM103" s="469"/>
      <c r="AN103" s="473"/>
      <c r="AO103" s="471"/>
      <c r="AP103" s="471"/>
      <c r="AQ103" s="471"/>
      <c r="AR103" s="471"/>
      <c r="AS103" s="471"/>
      <c r="AT103" s="471"/>
      <c r="AU103" s="471"/>
      <c r="AV103" s="471"/>
      <c r="AW103" s="472"/>
      <c r="AX103" s="467"/>
      <c r="AY103" s="465"/>
      <c r="AZ103" s="465"/>
      <c r="BA103" s="465"/>
      <c r="BB103" s="465"/>
      <c r="BC103" s="465"/>
      <c r="BD103" s="465"/>
      <c r="BE103" s="465"/>
      <c r="BF103" s="465"/>
      <c r="BG103" s="466"/>
      <c r="BH103" s="55"/>
      <c r="BI103" s="55"/>
      <c r="BJ103" s="55"/>
      <c r="BK103" s="55"/>
      <c r="BL103" s="55"/>
      <c r="BM103" s="55"/>
      <c r="BN103" s="55"/>
      <c r="BO103" s="55"/>
      <c r="BP103" s="55"/>
      <c r="BQ103" s="55"/>
      <c r="BR103" s="55"/>
      <c r="BS103" s="55"/>
      <c r="BT103" s="55"/>
      <c r="BU103" s="55"/>
      <c r="BV103" s="55"/>
      <c r="BW103" s="55"/>
      <c r="BX103" s="55"/>
      <c r="BY103" s="55"/>
      <c r="BZ103" s="55"/>
      <c r="CA103" s="55"/>
      <c r="CB103" s="55"/>
      <c r="CC103" s="55"/>
      <c r="CD103" s="55"/>
      <c r="CE103" s="55"/>
      <c r="CF103" s="55"/>
      <c r="CG103" s="55"/>
      <c r="CH103" s="55"/>
      <c r="CI103" s="55"/>
      <c r="CJ103" s="55"/>
      <c r="CK103" s="55"/>
      <c r="CL103" s="55"/>
      <c r="CM103" s="55"/>
      <c r="CN103" s="55"/>
      <c r="CO103" s="55"/>
      <c r="CP103" s="55"/>
      <c r="CQ103" s="55"/>
      <c r="CR103" s="55"/>
      <c r="CS103" s="55"/>
      <c r="CT103" s="55"/>
      <c r="CU103" s="55"/>
      <c r="CV103" s="55"/>
    </row>
    <row r="104" spans="1:100" ht="15" customHeight="1" x14ac:dyDescent="0.25">
      <c r="A104" s="55"/>
      <c r="B104" s="316"/>
      <c r="C104" s="316"/>
      <c r="D104" s="317"/>
      <c r="E104" s="534"/>
      <c r="F104" s="535"/>
      <c r="G104" s="535"/>
      <c r="H104" s="535"/>
      <c r="I104" s="539"/>
      <c r="J104" s="462" t="str">
        <f>IF(AND('Mapa final'!$K$139="Muy Baja",'Mapa final'!$O$139="Leve"),CONCATENATE("R",'Mapa final'!$A$139),"")</f>
        <v/>
      </c>
      <c r="K104" s="463"/>
      <c r="L104" s="463" t="str">
        <f>IF(AND('Mapa final'!$K$142="Muy Baja",'Mapa final'!$O$142="Leve"),CONCATENATE("R",'Mapa final'!$A$142),"")</f>
        <v/>
      </c>
      <c r="M104" s="463"/>
      <c r="N104" s="463" t="str">
        <f>IF(AND('Mapa final'!$K$145="Muy Baja",'Mapa final'!$O$145="Leve"),CONCATENATE("R",'Mapa final'!$A$145),"")</f>
        <v/>
      </c>
      <c r="O104" s="463"/>
      <c r="P104" s="463" t="str">
        <f>IF(AND('Mapa final'!$K$148="Muy Baja",'Mapa final'!$O$148="Leve"),CONCATENATE("R",'Mapa final'!$A$148),"")</f>
        <v/>
      </c>
      <c r="Q104" s="463"/>
      <c r="R104" s="463" t="str">
        <f>IF(AND('Mapa final'!$K$151="Muy Baja",'Mapa final'!$O$151="Leve"),CONCATENATE("R",'Mapa final'!$A$151),"")</f>
        <v/>
      </c>
      <c r="S104" s="464"/>
      <c r="T104" s="462" t="str">
        <f>IF(AND('Mapa final'!$K$139="Muy Baja",'Mapa final'!$O$139="Menor"),CONCATENATE("R",'Mapa final'!$A$139),"")</f>
        <v/>
      </c>
      <c r="U104" s="463"/>
      <c r="V104" s="463" t="str">
        <f>IF(AND('Mapa final'!$K$142="Muy Baja",'Mapa final'!$O$142="Menor"),CONCATENATE("R",'Mapa final'!$A$142),"")</f>
        <v/>
      </c>
      <c r="W104" s="463"/>
      <c r="X104" s="463" t="str">
        <f>IF(AND('Mapa final'!$K$145="Muy Baja",'Mapa final'!$O$145="Menor"),CONCATENATE("R",'Mapa final'!$A$145),"")</f>
        <v/>
      </c>
      <c r="Y104" s="463"/>
      <c r="Z104" s="463" t="str">
        <f>IF(AND('Mapa final'!$K$148="Muy Baja",'Mapa final'!$O$148="Menor"),CONCATENATE("R",'Mapa final'!$A$148),"")</f>
        <v/>
      </c>
      <c r="AA104" s="463"/>
      <c r="AB104" s="463" t="str">
        <f>IF(AND('Mapa final'!$K$151="Muy Baja",'Mapa final'!$O$151="Menor"),CONCATENATE("R",'Mapa final'!$A$151),"")</f>
        <v/>
      </c>
      <c r="AC104" s="464"/>
      <c r="AD104" s="470" t="str">
        <f>IF(AND('Mapa final'!$K$139="Muy Baja",'Mapa final'!$O$139="Moderado"),CONCATENATE("R",'Mapa final'!$A$139),"")</f>
        <v/>
      </c>
      <c r="AE104" s="468"/>
      <c r="AF104" s="468" t="str">
        <f>IF(AND('Mapa final'!$K$142="Muy Baja",'Mapa final'!$O$142="Moderado"),CONCATENATE("R",'Mapa final'!$A$142),"")</f>
        <v/>
      </c>
      <c r="AG104" s="468"/>
      <c r="AH104" s="468" t="str">
        <f>IF(AND('Mapa final'!$K$145="Muy Baja",'Mapa final'!$O$145="Moderado"),CONCATENATE("R",'Mapa final'!$A$145),"")</f>
        <v/>
      </c>
      <c r="AI104" s="468"/>
      <c r="AJ104" s="468" t="str">
        <f>IF(AND('Mapa final'!$K$148="Muy Baja",'Mapa final'!$O$148="Moderado"),CONCATENATE("R",'Mapa final'!$A$148),"")</f>
        <v/>
      </c>
      <c r="AK104" s="468"/>
      <c r="AL104" s="468" t="str">
        <f>IF(AND('Mapa final'!$K$151="Muy Baja",'Mapa final'!$O$151="Moderado"),CONCATENATE("R",'Mapa final'!$A$151),"")</f>
        <v/>
      </c>
      <c r="AM104" s="469"/>
      <c r="AN104" s="473" t="str">
        <f>IF(AND('Mapa final'!$K$139="Muy Baja",'Mapa final'!$O$139="Mayor"),CONCATENATE("R",'Mapa final'!$A$139),"")</f>
        <v/>
      </c>
      <c r="AO104" s="471"/>
      <c r="AP104" s="471" t="str">
        <f>IF(AND('Mapa final'!$K$142="Muy Baja",'Mapa final'!$O$142="Mayor"),CONCATENATE("R",'Mapa final'!$A$142),"")</f>
        <v/>
      </c>
      <c r="AQ104" s="471"/>
      <c r="AR104" s="471" t="str">
        <f>IF(AND('Mapa final'!$K$145="Muy Baja",'Mapa final'!$O$145="Mayor"),CONCATENATE("R",'Mapa final'!$A$145),"")</f>
        <v/>
      </c>
      <c r="AS104" s="471"/>
      <c r="AT104" s="471" t="str">
        <f>IF(AND('Mapa final'!$K$148="Muy Baja",'Mapa final'!$O$148="Mayor"),CONCATENATE("R",'Mapa final'!$A$148),"")</f>
        <v/>
      </c>
      <c r="AU104" s="471"/>
      <c r="AV104" s="471" t="str">
        <f>IF(AND('Mapa final'!$K$151="Muy Baja",'Mapa final'!$O$151="Mayor"),CONCATENATE("R",'Mapa final'!$A$151),"")</f>
        <v/>
      </c>
      <c r="AW104" s="472"/>
      <c r="AX104" s="467" t="str">
        <f>IF(AND('Mapa final'!$K$139="Muy Baja",'Mapa final'!$O$139="Catastrófico"),CONCATENATE("R",'Mapa final'!$A$139),"")</f>
        <v/>
      </c>
      <c r="AY104" s="465"/>
      <c r="AZ104" s="465" t="str">
        <f>IF(AND('Mapa final'!$K$142="Muy Baja",'Mapa final'!$O$142="Catastrófico"),CONCATENATE("R",'Mapa final'!$A$142),"")</f>
        <v/>
      </c>
      <c r="BA104" s="465"/>
      <c r="BB104" s="465" t="str">
        <f>IF(AND('Mapa final'!$K$145="Muy Baja",'Mapa final'!$O$145="Catastrófico"),CONCATENATE("R",'Mapa final'!$A$145),"")</f>
        <v/>
      </c>
      <c r="BC104" s="465"/>
      <c r="BD104" s="465" t="str">
        <f>IF(AND('Mapa final'!$K$148="Muy Baja",'Mapa final'!$O$148="Catastrófico"),CONCATENATE("R",'Mapa final'!$A$148),"")</f>
        <v/>
      </c>
      <c r="BE104" s="465"/>
      <c r="BF104" s="465" t="str">
        <f>IF(AND('Mapa final'!$K$151="Muy Baja",'Mapa final'!$O$151="Catastrófico"),CONCATENATE("R",'Mapa final'!$A$151),"")</f>
        <v/>
      </c>
      <c r="BG104" s="466"/>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c r="CP104" s="55"/>
      <c r="CQ104" s="55"/>
      <c r="CR104" s="55"/>
      <c r="CS104" s="55"/>
      <c r="CT104" s="55"/>
      <c r="CU104" s="55"/>
      <c r="CV104" s="55"/>
    </row>
    <row r="105" spans="1:100" ht="15.75" customHeight="1" thickBot="1" x14ac:dyDescent="0.3">
      <c r="A105" s="55"/>
      <c r="B105" s="316"/>
      <c r="C105" s="316"/>
      <c r="D105" s="317"/>
      <c r="E105" s="536"/>
      <c r="F105" s="537"/>
      <c r="G105" s="537"/>
      <c r="H105" s="537"/>
      <c r="I105" s="540"/>
      <c r="J105" s="491"/>
      <c r="K105" s="492"/>
      <c r="L105" s="492"/>
      <c r="M105" s="492"/>
      <c r="N105" s="492"/>
      <c r="O105" s="492"/>
      <c r="P105" s="492"/>
      <c r="Q105" s="492"/>
      <c r="R105" s="492"/>
      <c r="S105" s="494"/>
      <c r="T105" s="491"/>
      <c r="U105" s="492"/>
      <c r="V105" s="492"/>
      <c r="W105" s="492"/>
      <c r="X105" s="492"/>
      <c r="Y105" s="492"/>
      <c r="Z105" s="492"/>
      <c r="AA105" s="492"/>
      <c r="AB105" s="492"/>
      <c r="AC105" s="494"/>
      <c r="AD105" s="480"/>
      <c r="AE105" s="481"/>
      <c r="AF105" s="481"/>
      <c r="AG105" s="481"/>
      <c r="AH105" s="481"/>
      <c r="AI105" s="481"/>
      <c r="AJ105" s="481"/>
      <c r="AK105" s="481"/>
      <c r="AL105" s="481"/>
      <c r="AM105" s="482"/>
      <c r="AN105" s="474"/>
      <c r="AO105" s="475"/>
      <c r="AP105" s="475"/>
      <c r="AQ105" s="475"/>
      <c r="AR105" s="475"/>
      <c r="AS105" s="475"/>
      <c r="AT105" s="475"/>
      <c r="AU105" s="475"/>
      <c r="AV105" s="475"/>
      <c r="AW105" s="476"/>
      <c r="AX105" s="487"/>
      <c r="AY105" s="486"/>
      <c r="AZ105" s="486"/>
      <c r="BA105" s="486"/>
      <c r="BB105" s="486"/>
      <c r="BC105" s="486"/>
      <c r="BD105" s="486"/>
      <c r="BE105" s="486"/>
      <c r="BF105" s="486"/>
      <c r="BG105" s="488"/>
      <c r="BH105" s="55"/>
      <c r="BI105" s="55"/>
      <c r="BJ105" s="55"/>
      <c r="BK105" s="55"/>
      <c r="BL105" s="55"/>
      <c r="BM105" s="55"/>
      <c r="BN105" s="55"/>
      <c r="BO105" s="55"/>
      <c r="BP105" s="55"/>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row>
    <row r="106" spans="1:100" x14ac:dyDescent="0.25">
      <c r="A106" s="55"/>
      <c r="B106" s="55"/>
      <c r="C106" s="55"/>
      <c r="D106" s="55"/>
      <c r="E106" s="55"/>
      <c r="F106" s="55"/>
      <c r="G106" s="55"/>
      <c r="H106" s="55"/>
      <c r="I106" s="55"/>
      <c r="J106" s="541" t="s">
        <v>103</v>
      </c>
      <c r="K106" s="535"/>
      <c r="L106" s="535"/>
      <c r="M106" s="535"/>
      <c r="N106" s="535"/>
      <c r="O106" s="535"/>
      <c r="P106" s="535"/>
      <c r="Q106" s="535"/>
      <c r="R106" s="535"/>
      <c r="S106" s="539"/>
      <c r="T106" s="541" t="s">
        <v>102</v>
      </c>
      <c r="U106" s="535"/>
      <c r="V106" s="535"/>
      <c r="W106" s="535"/>
      <c r="X106" s="535"/>
      <c r="Y106" s="535"/>
      <c r="Z106" s="535"/>
      <c r="AA106" s="535"/>
      <c r="AB106" s="535"/>
      <c r="AC106" s="539"/>
      <c r="AD106" s="541" t="s">
        <v>101</v>
      </c>
      <c r="AE106" s="535"/>
      <c r="AF106" s="535"/>
      <c r="AG106" s="535"/>
      <c r="AH106" s="535"/>
      <c r="AI106" s="535"/>
      <c r="AJ106" s="535"/>
      <c r="AK106" s="535"/>
      <c r="AL106" s="535"/>
      <c r="AM106" s="539"/>
      <c r="AN106" s="541" t="s">
        <v>100</v>
      </c>
      <c r="AO106" s="543"/>
      <c r="AP106" s="543"/>
      <c r="AQ106" s="543"/>
      <c r="AR106" s="543"/>
      <c r="AS106" s="543"/>
      <c r="AT106" s="535"/>
      <c r="AU106" s="535"/>
      <c r="AV106" s="535"/>
      <c r="AW106" s="539"/>
      <c r="AX106" s="541" t="s">
        <v>99</v>
      </c>
      <c r="AY106" s="535"/>
      <c r="AZ106" s="535"/>
      <c r="BA106" s="535"/>
      <c r="BB106" s="535"/>
      <c r="BC106" s="535"/>
      <c r="BD106" s="535"/>
      <c r="BE106" s="535"/>
      <c r="BF106" s="535"/>
      <c r="BG106" s="539"/>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row>
    <row r="107" spans="1:100" x14ac:dyDescent="0.25">
      <c r="A107" s="55"/>
      <c r="B107" s="55"/>
      <c r="C107" s="55"/>
      <c r="D107" s="55"/>
      <c r="E107" s="55"/>
      <c r="F107" s="55"/>
      <c r="G107" s="55"/>
      <c r="H107" s="55"/>
      <c r="I107" s="55"/>
      <c r="J107" s="534"/>
      <c r="K107" s="535"/>
      <c r="L107" s="535"/>
      <c r="M107" s="535"/>
      <c r="N107" s="535"/>
      <c r="O107" s="535"/>
      <c r="P107" s="535"/>
      <c r="Q107" s="535"/>
      <c r="R107" s="535"/>
      <c r="S107" s="539"/>
      <c r="T107" s="534"/>
      <c r="U107" s="535"/>
      <c r="V107" s="535"/>
      <c r="W107" s="535"/>
      <c r="X107" s="535"/>
      <c r="Y107" s="535"/>
      <c r="Z107" s="535"/>
      <c r="AA107" s="535"/>
      <c r="AB107" s="535"/>
      <c r="AC107" s="539"/>
      <c r="AD107" s="534"/>
      <c r="AE107" s="535"/>
      <c r="AF107" s="535"/>
      <c r="AG107" s="535"/>
      <c r="AH107" s="535"/>
      <c r="AI107" s="535"/>
      <c r="AJ107" s="535"/>
      <c r="AK107" s="535"/>
      <c r="AL107" s="535"/>
      <c r="AM107" s="539"/>
      <c r="AN107" s="534"/>
      <c r="AO107" s="535"/>
      <c r="AP107" s="535"/>
      <c r="AQ107" s="535"/>
      <c r="AR107" s="535"/>
      <c r="AS107" s="535"/>
      <c r="AT107" s="535"/>
      <c r="AU107" s="535"/>
      <c r="AV107" s="535"/>
      <c r="AW107" s="539"/>
      <c r="AX107" s="534"/>
      <c r="AY107" s="535"/>
      <c r="AZ107" s="535"/>
      <c r="BA107" s="535"/>
      <c r="BB107" s="535"/>
      <c r="BC107" s="535"/>
      <c r="BD107" s="535"/>
      <c r="BE107" s="535"/>
      <c r="BF107" s="535"/>
      <c r="BG107" s="539"/>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c r="CP107" s="55"/>
      <c r="CQ107" s="55"/>
      <c r="CR107" s="55"/>
      <c r="CS107" s="55"/>
      <c r="CT107" s="55"/>
      <c r="CU107" s="55"/>
      <c r="CV107" s="55"/>
    </row>
    <row r="108" spans="1:100" x14ac:dyDescent="0.25">
      <c r="A108" s="55"/>
      <c r="B108" s="55"/>
      <c r="C108" s="55"/>
      <c r="D108" s="55"/>
      <c r="E108" s="55"/>
      <c r="F108" s="55"/>
      <c r="G108" s="55"/>
      <c r="H108" s="55"/>
      <c r="I108" s="55"/>
      <c r="J108" s="534"/>
      <c r="K108" s="535"/>
      <c r="L108" s="535"/>
      <c r="M108" s="535"/>
      <c r="N108" s="535"/>
      <c r="O108" s="535"/>
      <c r="P108" s="535"/>
      <c r="Q108" s="535"/>
      <c r="R108" s="535"/>
      <c r="S108" s="539"/>
      <c r="T108" s="534"/>
      <c r="U108" s="535"/>
      <c r="V108" s="535"/>
      <c r="W108" s="535"/>
      <c r="X108" s="535"/>
      <c r="Y108" s="535"/>
      <c r="Z108" s="535"/>
      <c r="AA108" s="535"/>
      <c r="AB108" s="535"/>
      <c r="AC108" s="539"/>
      <c r="AD108" s="534"/>
      <c r="AE108" s="535"/>
      <c r="AF108" s="535"/>
      <c r="AG108" s="535"/>
      <c r="AH108" s="535"/>
      <c r="AI108" s="535"/>
      <c r="AJ108" s="535"/>
      <c r="AK108" s="535"/>
      <c r="AL108" s="535"/>
      <c r="AM108" s="539"/>
      <c r="AN108" s="534"/>
      <c r="AO108" s="535"/>
      <c r="AP108" s="535"/>
      <c r="AQ108" s="535"/>
      <c r="AR108" s="535"/>
      <c r="AS108" s="535"/>
      <c r="AT108" s="535"/>
      <c r="AU108" s="535"/>
      <c r="AV108" s="535"/>
      <c r="AW108" s="539"/>
      <c r="AX108" s="534"/>
      <c r="AY108" s="535"/>
      <c r="AZ108" s="535"/>
      <c r="BA108" s="535"/>
      <c r="BB108" s="535"/>
      <c r="BC108" s="535"/>
      <c r="BD108" s="535"/>
      <c r="BE108" s="535"/>
      <c r="BF108" s="535"/>
      <c r="BG108" s="539"/>
      <c r="BH108" s="55"/>
      <c r="BI108" s="55"/>
      <c r="BJ108" s="55"/>
      <c r="BK108" s="55"/>
      <c r="BL108" s="55"/>
      <c r="BM108" s="55"/>
      <c r="BN108" s="55"/>
      <c r="BO108" s="55"/>
      <c r="BP108" s="55"/>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c r="CP108" s="55"/>
      <c r="CQ108" s="55"/>
      <c r="CR108" s="55"/>
      <c r="CS108" s="55"/>
      <c r="CT108" s="55"/>
      <c r="CU108" s="55"/>
      <c r="CV108" s="55"/>
    </row>
    <row r="109" spans="1:100" x14ac:dyDescent="0.25">
      <c r="A109" s="55"/>
      <c r="B109" s="55"/>
      <c r="C109" s="55"/>
      <c r="D109" s="55"/>
      <c r="E109" s="55"/>
      <c r="F109" s="55"/>
      <c r="G109" s="55"/>
      <c r="H109" s="55"/>
      <c r="I109" s="55"/>
      <c r="J109" s="534"/>
      <c r="K109" s="535"/>
      <c r="L109" s="535"/>
      <c r="M109" s="535"/>
      <c r="N109" s="535"/>
      <c r="O109" s="535"/>
      <c r="P109" s="535"/>
      <c r="Q109" s="535"/>
      <c r="R109" s="535"/>
      <c r="S109" s="539"/>
      <c r="T109" s="534"/>
      <c r="U109" s="535"/>
      <c r="V109" s="535"/>
      <c r="W109" s="535"/>
      <c r="X109" s="535"/>
      <c r="Y109" s="535"/>
      <c r="Z109" s="535"/>
      <c r="AA109" s="535"/>
      <c r="AB109" s="535"/>
      <c r="AC109" s="539"/>
      <c r="AD109" s="534"/>
      <c r="AE109" s="535"/>
      <c r="AF109" s="535"/>
      <c r="AG109" s="535"/>
      <c r="AH109" s="535"/>
      <c r="AI109" s="535"/>
      <c r="AJ109" s="535"/>
      <c r="AK109" s="535"/>
      <c r="AL109" s="535"/>
      <c r="AM109" s="539"/>
      <c r="AN109" s="534"/>
      <c r="AO109" s="535"/>
      <c r="AP109" s="535"/>
      <c r="AQ109" s="535"/>
      <c r="AR109" s="535"/>
      <c r="AS109" s="535"/>
      <c r="AT109" s="535"/>
      <c r="AU109" s="535"/>
      <c r="AV109" s="535"/>
      <c r="AW109" s="539"/>
      <c r="AX109" s="534"/>
      <c r="AY109" s="535"/>
      <c r="AZ109" s="535"/>
      <c r="BA109" s="535"/>
      <c r="BB109" s="535"/>
      <c r="BC109" s="535"/>
      <c r="BD109" s="535"/>
      <c r="BE109" s="535"/>
      <c r="BF109" s="535"/>
      <c r="BG109" s="539"/>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c r="CP109" s="55"/>
      <c r="CQ109" s="55"/>
      <c r="CR109" s="55"/>
      <c r="CS109" s="55"/>
      <c r="CT109" s="55"/>
      <c r="CU109" s="55"/>
      <c r="CV109" s="55"/>
    </row>
    <row r="110" spans="1:100" x14ac:dyDescent="0.25">
      <c r="A110" s="55"/>
      <c r="B110" s="55"/>
      <c r="C110" s="55"/>
      <c r="D110" s="55"/>
      <c r="E110" s="55"/>
      <c r="F110" s="55"/>
      <c r="G110" s="55"/>
      <c r="H110" s="55"/>
      <c r="I110" s="55"/>
      <c r="J110" s="534"/>
      <c r="K110" s="535"/>
      <c r="L110" s="535"/>
      <c r="M110" s="535"/>
      <c r="N110" s="535"/>
      <c r="O110" s="535"/>
      <c r="P110" s="535"/>
      <c r="Q110" s="535"/>
      <c r="R110" s="535"/>
      <c r="S110" s="539"/>
      <c r="T110" s="534"/>
      <c r="U110" s="535"/>
      <c r="V110" s="535"/>
      <c r="W110" s="535"/>
      <c r="X110" s="535"/>
      <c r="Y110" s="535"/>
      <c r="Z110" s="535"/>
      <c r="AA110" s="535"/>
      <c r="AB110" s="535"/>
      <c r="AC110" s="539"/>
      <c r="AD110" s="534"/>
      <c r="AE110" s="535"/>
      <c r="AF110" s="535"/>
      <c r="AG110" s="535"/>
      <c r="AH110" s="535"/>
      <c r="AI110" s="535"/>
      <c r="AJ110" s="535"/>
      <c r="AK110" s="535"/>
      <c r="AL110" s="535"/>
      <c r="AM110" s="539"/>
      <c r="AN110" s="534"/>
      <c r="AO110" s="535"/>
      <c r="AP110" s="535"/>
      <c r="AQ110" s="535"/>
      <c r="AR110" s="535"/>
      <c r="AS110" s="535"/>
      <c r="AT110" s="535"/>
      <c r="AU110" s="535"/>
      <c r="AV110" s="535"/>
      <c r="AW110" s="539"/>
      <c r="AX110" s="534"/>
      <c r="AY110" s="535"/>
      <c r="AZ110" s="535"/>
      <c r="BA110" s="535"/>
      <c r="BB110" s="535"/>
      <c r="BC110" s="535"/>
      <c r="BD110" s="535"/>
      <c r="BE110" s="535"/>
      <c r="BF110" s="535"/>
      <c r="BG110" s="539"/>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c r="CP110" s="55"/>
      <c r="CQ110" s="55"/>
      <c r="CR110" s="55"/>
      <c r="CS110" s="55"/>
      <c r="CT110" s="55"/>
      <c r="CU110" s="55"/>
      <c r="CV110" s="55"/>
    </row>
    <row r="111" spans="1:100" ht="15.75" thickBot="1" x14ac:dyDescent="0.3">
      <c r="A111" s="55"/>
      <c r="B111" s="55"/>
      <c r="C111" s="55"/>
      <c r="D111" s="55"/>
      <c r="E111" s="55"/>
      <c r="F111" s="55"/>
      <c r="G111" s="55"/>
      <c r="H111" s="55"/>
      <c r="I111" s="55"/>
      <c r="J111" s="536"/>
      <c r="K111" s="537"/>
      <c r="L111" s="537"/>
      <c r="M111" s="537"/>
      <c r="N111" s="537"/>
      <c r="O111" s="537"/>
      <c r="P111" s="537"/>
      <c r="Q111" s="537"/>
      <c r="R111" s="537"/>
      <c r="S111" s="540"/>
      <c r="T111" s="536"/>
      <c r="U111" s="537"/>
      <c r="V111" s="537"/>
      <c r="W111" s="537"/>
      <c r="X111" s="537"/>
      <c r="Y111" s="537"/>
      <c r="Z111" s="537"/>
      <c r="AA111" s="537"/>
      <c r="AB111" s="537"/>
      <c r="AC111" s="540"/>
      <c r="AD111" s="536"/>
      <c r="AE111" s="537"/>
      <c r="AF111" s="537"/>
      <c r="AG111" s="537"/>
      <c r="AH111" s="537"/>
      <c r="AI111" s="537"/>
      <c r="AJ111" s="537"/>
      <c r="AK111" s="537"/>
      <c r="AL111" s="537"/>
      <c r="AM111" s="540"/>
      <c r="AN111" s="536"/>
      <c r="AO111" s="537"/>
      <c r="AP111" s="537"/>
      <c r="AQ111" s="537"/>
      <c r="AR111" s="537"/>
      <c r="AS111" s="537"/>
      <c r="AT111" s="537"/>
      <c r="AU111" s="537"/>
      <c r="AV111" s="537"/>
      <c r="AW111" s="540"/>
      <c r="AX111" s="536"/>
      <c r="AY111" s="537"/>
      <c r="AZ111" s="537"/>
      <c r="BA111" s="537"/>
      <c r="BB111" s="537"/>
      <c r="BC111" s="537"/>
      <c r="BD111" s="537"/>
      <c r="BE111" s="537"/>
      <c r="BF111" s="537"/>
      <c r="BG111" s="540"/>
      <c r="BH111" s="55"/>
      <c r="BI111" s="55"/>
      <c r="BJ111" s="55"/>
      <c r="BK111" s="55"/>
      <c r="BL111" s="55"/>
      <c r="BM111" s="55"/>
      <c r="BN111" s="55"/>
      <c r="BO111" s="55"/>
      <c r="BP111" s="55"/>
      <c r="BQ111" s="55"/>
      <c r="BR111" s="55"/>
      <c r="BS111" s="55"/>
      <c r="BT111" s="55"/>
      <c r="BU111" s="55"/>
      <c r="BV111" s="55"/>
      <c r="BW111" s="55"/>
      <c r="BX111" s="55"/>
      <c r="BY111" s="55"/>
      <c r="BZ111" s="55"/>
      <c r="CA111" s="55"/>
      <c r="CB111" s="55"/>
      <c r="CC111" s="55"/>
      <c r="CD111" s="55"/>
      <c r="CE111" s="55"/>
      <c r="CF111" s="55"/>
      <c r="CG111" s="55"/>
      <c r="CH111" s="55"/>
      <c r="CI111" s="55"/>
      <c r="CJ111" s="55"/>
      <c r="CK111" s="55"/>
      <c r="CL111" s="55"/>
      <c r="CM111" s="55"/>
      <c r="CN111" s="55"/>
      <c r="CO111" s="55"/>
      <c r="CP111" s="55"/>
      <c r="CQ111" s="55"/>
      <c r="CR111" s="55"/>
      <c r="CS111" s="55"/>
      <c r="CT111" s="55"/>
      <c r="CU111" s="55"/>
      <c r="CV111" s="55"/>
    </row>
    <row r="112" spans="1:10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c r="BL112" s="55"/>
      <c r="BM112" s="55"/>
      <c r="BN112" s="55"/>
      <c r="BO112" s="55"/>
      <c r="BP112" s="55"/>
      <c r="BQ112" s="55"/>
      <c r="BR112" s="55"/>
      <c r="BS112" s="55"/>
      <c r="BT112" s="55"/>
      <c r="BU112" s="55"/>
      <c r="BV112" s="55"/>
      <c r="BW112" s="55"/>
      <c r="BX112" s="55"/>
      <c r="BY112" s="55"/>
      <c r="BZ112" s="55"/>
      <c r="CA112" s="55"/>
      <c r="CB112" s="55"/>
      <c r="CC112" s="55"/>
      <c r="CD112" s="55"/>
      <c r="CE112" s="55"/>
      <c r="CF112" s="55"/>
      <c r="CG112" s="55"/>
      <c r="CH112" s="55"/>
      <c r="CI112" s="55"/>
      <c r="CJ112" s="55"/>
      <c r="CK112" s="55"/>
      <c r="CL112" s="55"/>
      <c r="CM112" s="55"/>
      <c r="CN112" s="55"/>
      <c r="CO112" s="55"/>
      <c r="CP112" s="55"/>
      <c r="CQ112" s="55"/>
      <c r="CR112" s="55"/>
      <c r="CS112" s="55"/>
      <c r="CT112" s="55"/>
      <c r="CU112" s="55"/>
      <c r="CV112" s="55"/>
    </row>
    <row r="113" spans="1:100" ht="15" customHeight="1" x14ac:dyDescent="0.25">
      <c r="A113" s="55"/>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c r="AL113" s="59"/>
      <c r="AM113" s="59"/>
      <c r="AN113" s="59"/>
      <c r="AO113" s="59"/>
      <c r="AP113" s="59"/>
      <c r="AQ113" s="59"/>
      <c r="AR113" s="59"/>
      <c r="AS113" s="59"/>
      <c r="AT113" s="59"/>
      <c r="AU113" s="59"/>
      <c r="AV113" s="59"/>
      <c r="AW113" s="59"/>
      <c r="AX113" s="59"/>
      <c r="AY113" s="59"/>
      <c r="AZ113" s="59"/>
      <c r="BA113" s="59"/>
      <c r="BB113" s="59"/>
      <c r="BC113" s="59"/>
      <c r="BD113" s="59"/>
      <c r="BE113" s="59"/>
      <c r="BF113" s="59"/>
      <c r="BG113" s="59"/>
      <c r="BH113" s="59"/>
      <c r="BI113" s="55"/>
      <c r="BJ113" s="55"/>
      <c r="BK113" s="55"/>
      <c r="BL113" s="55"/>
      <c r="BM113" s="55"/>
      <c r="BN113" s="55"/>
      <c r="BO113" s="55"/>
      <c r="BP113" s="55"/>
      <c r="BQ113" s="55"/>
      <c r="BR113" s="55"/>
      <c r="BS113" s="55"/>
      <c r="BT113" s="55"/>
      <c r="BU113" s="55"/>
      <c r="BV113" s="55"/>
      <c r="BW113" s="55"/>
      <c r="BX113" s="55"/>
      <c r="BY113" s="55"/>
      <c r="BZ113" s="55"/>
      <c r="CA113" s="55"/>
      <c r="CB113" s="55"/>
      <c r="CC113" s="55"/>
      <c r="CD113" s="55"/>
      <c r="CE113" s="55"/>
      <c r="CF113" s="55"/>
      <c r="CG113" s="55"/>
      <c r="CH113" s="55"/>
      <c r="CI113" s="55"/>
      <c r="CJ113" s="55"/>
      <c r="CK113" s="55"/>
      <c r="CL113" s="55"/>
      <c r="CM113" s="55"/>
      <c r="CN113" s="55"/>
      <c r="CO113" s="55"/>
      <c r="CP113" s="55"/>
      <c r="CQ113" s="55"/>
      <c r="CR113" s="55"/>
      <c r="CS113" s="55"/>
      <c r="CT113" s="55"/>
      <c r="CU113" s="55"/>
      <c r="CV113" s="55"/>
    </row>
    <row r="114" spans="1:100" ht="15" customHeight="1" x14ac:dyDescent="0.25">
      <c r="A114" s="55"/>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c r="AL114" s="59"/>
      <c r="AM114" s="59"/>
      <c r="AN114" s="59"/>
      <c r="AO114" s="59"/>
      <c r="AP114" s="59"/>
      <c r="AQ114" s="59"/>
      <c r="AR114" s="59"/>
      <c r="AS114" s="59"/>
      <c r="AT114" s="59"/>
      <c r="AU114" s="59"/>
      <c r="AV114" s="59"/>
      <c r="AW114" s="59"/>
      <c r="AX114" s="59"/>
      <c r="AY114" s="59"/>
      <c r="AZ114" s="59"/>
      <c r="BA114" s="59"/>
      <c r="BB114" s="59"/>
      <c r="BC114" s="59"/>
      <c r="BD114" s="59"/>
      <c r="BE114" s="59"/>
      <c r="BF114" s="59"/>
      <c r="BG114" s="59"/>
      <c r="BH114" s="59"/>
      <c r="BI114" s="55"/>
      <c r="BJ114" s="55"/>
      <c r="BK114" s="55"/>
      <c r="BL114" s="55"/>
      <c r="BM114" s="55"/>
      <c r="BN114" s="55"/>
      <c r="BO114" s="55"/>
      <c r="BP114" s="55"/>
      <c r="BQ114" s="55"/>
      <c r="BR114" s="55"/>
      <c r="BS114" s="55"/>
      <c r="BT114" s="55"/>
      <c r="BU114" s="55"/>
      <c r="BV114" s="55"/>
      <c r="BW114" s="55"/>
      <c r="BX114" s="55"/>
      <c r="BY114" s="55"/>
      <c r="BZ114" s="55"/>
      <c r="CA114" s="55"/>
      <c r="CB114" s="55"/>
      <c r="CC114" s="55"/>
      <c r="CD114" s="55"/>
      <c r="CE114" s="55"/>
      <c r="CF114" s="55"/>
      <c r="CG114" s="55"/>
      <c r="CH114" s="55"/>
      <c r="CI114" s="55"/>
      <c r="CJ114" s="55"/>
      <c r="CK114" s="55"/>
      <c r="CL114" s="55"/>
      <c r="CM114" s="55"/>
      <c r="CN114" s="55"/>
      <c r="CO114" s="55"/>
      <c r="CP114" s="55"/>
      <c r="CQ114" s="55"/>
      <c r="CR114" s="55"/>
      <c r="CS114" s="55"/>
      <c r="CT114" s="55"/>
      <c r="CU114" s="55"/>
      <c r="CV114" s="55"/>
    </row>
    <row r="115" spans="1:10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c r="BL115" s="55"/>
      <c r="BM115" s="55"/>
      <c r="BN115" s="55"/>
      <c r="BO115" s="55"/>
      <c r="BP115" s="55"/>
      <c r="BQ115" s="55"/>
      <c r="BR115" s="55"/>
      <c r="BS115" s="55"/>
      <c r="BT115" s="55"/>
      <c r="BU115" s="55"/>
      <c r="BV115" s="55"/>
      <c r="BW115" s="55"/>
      <c r="BX115" s="55"/>
      <c r="BY115" s="55"/>
      <c r="BZ115" s="55"/>
      <c r="CA115" s="55"/>
      <c r="CB115" s="55"/>
      <c r="CC115" s="55"/>
      <c r="CD115" s="55"/>
      <c r="CE115" s="55"/>
      <c r="CF115" s="55"/>
      <c r="CG115" s="55"/>
      <c r="CH115" s="55"/>
      <c r="CI115" s="55"/>
      <c r="CJ115" s="55"/>
      <c r="CK115" s="55"/>
      <c r="CL115" s="55"/>
      <c r="CM115" s="55"/>
      <c r="CN115" s="55"/>
      <c r="CO115" s="55"/>
      <c r="CP115" s="55"/>
      <c r="CQ115" s="55"/>
      <c r="CR115" s="55"/>
      <c r="CS115" s="55"/>
      <c r="CT115" s="55"/>
      <c r="CU115" s="55"/>
      <c r="CV115" s="55"/>
    </row>
    <row r="116" spans="1:10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c r="BL116" s="55"/>
      <c r="BM116" s="55"/>
      <c r="BN116" s="55"/>
      <c r="BO116" s="55"/>
      <c r="BP116" s="55"/>
      <c r="BQ116" s="55"/>
      <c r="BR116" s="55"/>
      <c r="BS116" s="55"/>
      <c r="BT116" s="55"/>
      <c r="BU116" s="55"/>
      <c r="BV116" s="55"/>
      <c r="BW116" s="55"/>
      <c r="BX116" s="55"/>
      <c r="BY116" s="55"/>
      <c r="BZ116" s="55"/>
      <c r="CA116" s="55"/>
      <c r="CB116" s="55"/>
      <c r="CC116" s="55"/>
      <c r="CD116" s="55"/>
      <c r="CE116" s="55"/>
      <c r="CF116" s="55"/>
      <c r="CG116" s="55"/>
      <c r="CH116" s="55"/>
      <c r="CI116" s="55"/>
      <c r="CJ116" s="55"/>
      <c r="CK116" s="55"/>
      <c r="CL116" s="55"/>
      <c r="CM116" s="55"/>
      <c r="CN116" s="55"/>
      <c r="CO116" s="55"/>
      <c r="CP116" s="55"/>
      <c r="CQ116" s="55"/>
      <c r="CR116" s="55"/>
      <c r="CS116" s="55"/>
      <c r="CT116" s="55"/>
      <c r="CU116" s="55"/>
      <c r="CV116" s="55"/>
    </row>
    <row r="117" spans="1:10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c r="CR117" s="55"/>
      <c r="CS117" s="55"/>
      <c r="CT117" s="55"/>
      <c r="CU117" s="55"/>
      <c r="CV117" s="55"/>
    </row>
    <row r="118" spans="1:10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c r="BL118" s="55"/>
      <c r="BM118" s="55"/>
      <c r="BN118" s="55"/>
      <c r="BO118" s="55"/>
      <c r="BP118" s="55"/>
      <c r="BQ118" s="55"/>
      <c r="BR118" s="55"/>
      <c r="BS118" s="55"/>
      <c r="BT118" s="55"/>
      <c r="BU118" s="55"/>
      <c r="BV118" s="55"/>
      <c r="BW118" s="55"/>
      <c r="BX118" s="55"/>
      <c r="BY118" s="55"/>
      <c r="BZ118" s="55"/>
      <c r="CA118" s="55"/>
      <c r="CB118" s="55"/>
      <c r="CC118" s="55"/>
      <c r="CD118" s="55"/>
      <c r="CE118" s="55"/>
      <c r="CF118" s="55"/>
      <c r="CG118" s="55"/>
      <c r="CH118" s="55"/>
      <c r="CI118" s="55"/>
      <c r="CJ118" s="55"/>
      <c r="CK118" s="55"/>
      <c r="CL118" s="55"/>
      <c r="CM118" s="55"/>
      <c r="CN118" s="55"/>
      <c r="CO118" s="55"/>
      <c r="CP118" s="55"/>
      <c r="CQ118" s="55"/>
      <c r="CR118" s="55"/>
      <c r="CS118" s="55"/>
      <c r="CT118" s="55"/>
      <c r="CU118" s="55"/>
      <c r="CV118" s="55"/>
    </row>
    <row r="119" spans="1:10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c r="BL119" s="55"/>
      <c r="BM119" s="55"/>
      <c r="BN119" s="55"/>
      <c r="BO119" s="55"/>
      <c r="BP119" s="55"/>
      <c r="BQ119" s="55"/>
      <c r="BR119" s="55"/>
      <c r="BS119" s="55"/>
      <c r="BT119" s="55"/>
      <c r="BU119" s="55"/>
      <c r="BV119" s="55"/>
      <c r="BW119" s="55"/>
      <c r="BX119" s="55"/>
      <c r="BY119" s="55"/>
      <c r="BZ119" s="55"/>
      <c r="CA119" s="55"/>
      <c r="CB119" s="55"/>
      <c r="CC119" s="55"/>
      <c r="CD119" s="55"/>
      <c r="CE119" s="55"/>
      <c r="CF119" s="55"/>
      <c r="CG119" s="55"/>
      <c r="CH119" s="55"/>
      <c r="CI119" s="55"/>
      <c r="CJ119" s="55"/>
      <c r="CK119" s="55"/>
      <c r="CL119" s="55"/>
      <c r="CM119" s="55"/>
      <c r="CN119" s="55"/>
      <c r="CO119" s="55"/>
      <c r="CP119" s="55"/>
      <c r="CQ119" s="55"/>
      <c r="CR119" s="55"/>
      <c r="CS119" s="55"/>
      <c r="CT119" s="55"/>
      <c r="CU119" s="55"/>
      <c r="CV119" s="55"/>
    </row>
    <row r="120" spans="1:10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c r="BL120" s="55"/>
      <c r="BM120" s="55"/>
      <c r="BN120" s="55"/>
      <c r="BO120" s="55"/>
      <c r="BP120" s="55"/>
      <c r="BQ120" s="55"/>
      <c r="BR120" s="55"/>
      <c r="BS120" s="55"/>
      <c r="BT120" s="55"/>
      <c r="BU120" s="55"/>
      <c r="BV120" s="55"/>
      <c r="BW120" s="55"/>
      <c r="BX120" s="55"/>
      <c r="BY120" s="55"/>
      <c r="BZ120" s="55"/>
      <c r="CA120" s="55"/>
      <c r="CB120" s="55"/>
      <c r="CC120" s="55"/>
      <c r="CD120" s="55"/>
      <c r="CE120" s="55"/>
      <c r="CF120" s="55"/>
      <c r="CG120" s="55"/>
      <c r="CH120" s="55"/>
      <c r="CI120" s="55"/>
      <c r="CJ120" s="55"/>
      <c r="CK120" s="55"/>
      <c r="CL120" s="55"/>
      <c r="CM120" s="55"/>
      <c r="CN120" s="55"/>
      <c r="CO120" s="55"/>
      <c r="CP120" s="55"/>
      <c r="CQ120" s="55"/>
      <c r="CR120" s="55"/>
      <c r="CS120" s="55"/>
      <c r="CT120" s="55"/>
      <c r="CU120" s="55"/>
      <c r="CV120" s="55"/>
    </row>
    <row r="121" spans="1:100" ht="21"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9"/>
      <c r="BJ121" s="59"/>
      <c r="BK121" s="59"/>
      <c r="BL121" s="59"/>
      <c r="BM121" s="59"/>
      <c r="BN121" s="59"/>
      <c r="BO121" s="55"/>
      <c r="BP121" s="55"/>
      <c r="BQ121" s="55"/>
      <c r="BR121" s="55"/>
      <c r="BS121" s="55"/>
      <c r="BT121" s="55"/>
      <c r="BU121" s="55"/>
      <c r="BV121" s="55"/>
      <c r="BW121" s="55"/>
      <c r="BX121" s="55"/>
      <c r="BY121" s="55"/>
      <c r="BZ121" s="55"/>
      <c r="CA121" s="55"/>
      <c r="CB121" s="55"/>
      <c r="CC121" s="55"/>
      <c r="CD121" s="55"/>
      <c r="CE121" s="55"/>
      <c r="CF121" s="55"/>
      <c r="CG121" s="55"/>
      <c r="CH121" s="55"/>
      <c r="CI121" s="55"/>
      <c r="CJ121" s="55"/>
      <c r="CK121" s="55"/>
      <c r="CL121" s="55"/>
      <c r="CM121" s="55"/>
      <c r="CN121" s="55"/>
      <c r="CO121" s="55"/>
      <c r="CP121" s="55"/>
      <c r="CQ121" s="55"/>
      <c r="CR121" s="55"/>
      <c r="CS121" s="55"/>
      <c r="CT121" s="55"/>
      <c r="CU121" s="55"/>
      <c r="CV121" s="55"/>
    </row>
    <row r="122" spans="1:100" ht="21"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9"/>
      <c r="BJ122" s="59"/>
      <c r="BK122" s="59"/>
      <c r="BL122" s="59"/>
      <c r="BM122" s="59"/>
      <c r="BN122" s="59"/>
      <c r="BO122" s="55"/>
      <c r="BP122" s="55"/>
      <c r="BQ122" s="55"/>
      <c r="BR122" s="55"/>
      <c r="BS122" s="55"/>
      <c r="BT122" s="55"/>
      <c r="BU122" s="55"/>
      <c r="BV122" s="55"/>
      <c r="BW122" s="55"/>
      <c r="BX122" s="55"/>
      <c r="BY122" s="55"/>
      <c r="BZ122" s="55"/>
      <c r="CA122" s="55"/>
      <c r="CB122" s="55"/>
      <c r="CC122" s="55"/>
      <c r="CD122" s="55"/>
      <c r="CE122" s="55"/>
      <c r="CF122" s="55"/>
      <c r="CG122" s="55"/>
      <c r="CH122" s="55"/>
      <c r="CI122" s="55"/>
      <c r="CJ122" s="55"/>
      <c r="CK122" s="55"/>
      <c r="CL122" s="55"/>
      <c r="CM122" s="55"/>
      <c r="CN122" s="55"/>
      <c r="CO122" s="55"/>
      <c r="CP122" s="55"/>
      <c r="CQ122" s="55"/>
      <c r="CR122" s="55"/>
      <c r="CS122" s="55"/>
      <c r="CT122" s="55"/>
      <c r="CU122" s="55"/>
      <c r="CV122" s="55"/>
    </row>
    <row r="123" spans="1:10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c r="BL123" s="55"/>
      <c r="BM123" s="55"/>
      <c r="BN123" s="55"/>
      <c r="BO123" s="55"/>
      <c r="BP123" s="55"/>
      <c r="BQ123" s="55"/>
      <c r="BR123" s="55"/>
      <c r="BS123" s="55"/>
      <c r="BT123" s="55"/>
      <c r="BU123" s="55"/>
      <c r="BV123" s="55"/>
      <c r="BW123" s="55"/>
      <c r="BX123" s="55"/>
      <c r="BY123" s="55"/>
      <c r="BZ123" s="55"/>
      <c r="CA123" s="55"/>
      <c r="CB123" s="55"/>
      <c r="CC123" s="55"/>
      <c r="CD123" s="55"/>
      <c r="CE123" s="55"/>
      <c r="CF123" s="55"/>
      <c r="CG123" s="55"/>
      <c r="CH123" s="55"/>
      <c r="CI123" s="55"/>
      <c r="CJ123" s="55"/>
      <c r="CK123" s="55"/>
      <c r="CL123" s="55"/>
      <c r="CM123" s="55"/>
      <c r="CN123" s="55"/>
      <c r="CO123" s="55"/>
      <c r="CP123" s="55"/>
      <c r="CQ123" s="55"/>
      <c r="CR123" s="55"/>
      <c r="CS123" s="55"/>
      <c r="CT123" s="55"/>
      <c r="CU123" s="55"/>
      <c r="CV123" s="55"/>
    </row>
    <row r="124" spans="1:10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c r="BL124" s="55"/>
      <c r="BM124" s="55"/>
      <c r="BN124" s="55"/>
      <c r="BO124" s="55"/>
      <c r="BP124" s="55"/>
      <c r="BQ124" s="55"/>
      <c r="BR124" s="55"/>
      <c r="BS124" s="55"/>
      <c r="BT124" s="55"/>
      <c r="BU124" s="55"/>
      <c r="BV124" s="55"/>
      <c r="BW124" s="55"/>
      <c r="BX124" s="55"/>
      <c r="BY124" s="55"/>
      <c r="BZ124" s="55"/>
      <c r="CA124" s="55"/>
      <c r="CB124" s="55"/>
      <c r="CC124" s="55"/>
      <c r="CD124" s="55"/>
      <c r="CE124" s="55"/>
      <c r="CF124" s="55"/>
      <c r="CG124" s="55"/>
      <c r="CH124" s="55"/>
      <c r="CI124" s="55"/>
      <c r="CJ124" s="55"/>
      <c r="CK124" s="55"/>
      <c r="CL124" s="55"/>
      <c r="CM124" s="55"/>
      <c r="CN124" s="55"/>
      <c r="CO124" s="55"/>
      <c r="CP124" s="55"/>
      <c r="CQ124" s="55"/>
      <c r="CR124" s="55"/>
      <c r="CS124" s="55"/>
      <c r="CT124" s="55"/>
      <c r="CU124" s="55"/>
      <c r="CV124" s="55"/>
    </row>
    <row r="125" spans="1:10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c r="BL125" s="55"/>
      <c r="BM125" s="55"/>
      <c r="BN125" s="55"/>
      <c r="BO125" s="55"/>
      <c r="BP125" s="55"/>
      <c r="BQ125" s="55"/>
      <c r="BR125" s="55"/>
      <c r="BS125" s="55"/>
      <c r="BT125" s="55"/>
      <c r="BU125" s="55"/>
      <c r="BV125" s="55"/>
      <c r="BW125" s="55"/>
      <c r="BX125" s="55"/>
      <c r="BY125" s="55"/>
      <c r="BZ125" s="55"/>
      <c r="CA125" s="55"/>
      <c r="CB125" s="55"/>
      <c r="CC125" s="55"/>
      <c r="CD125" s="55"/>
      <c r="CE125" s="55"/>
      <c r="CF125" s="55"/>
      <c r="CG125" s="55"/>
      <c r="CH125" s="55"/>
      <c r="CI125" s="55"/>
      <c r="CJ125" s="55"/>
      <c r="CK125" s="55"/>
      <c r="CL125" s="55"/>
      <c r="CM125" s="55"/>
      <c r="CN125" s="55"/>
      <c r="CO125" s="55"/>
      <c r="CP125" s="55"/>
      <c r="CQ125" s="55"/>
      <c r="CR125" s="55"/>
      <c r="CS125" s="55"/>
      <c r="CT125" s="55"/>
      <c r="CU125" s="55"/>
      <c r="CV125" s="55"/>
    </row>
    <row r="126" spans="1:10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c r="BL126" s="55"/>
      <c r="BM126" s="55"/>
      <c r="BN126" s="55"/>
      <c r="BO126" s="55"/>
      <c r="BP126" s="55"/>
      <c r="BQ126" s="55"/>
      <c r="BR126" s="55"/>
      <c r="BS126" s="55"/>
      <c r="BT126" s="55"/>
      <c r="BU126" s="55"/>
      <c r="BV126" s="55"/>
      <c r="BW126" s="55"/>
      <c r="BX126" s="55"/>
      <c r="BY126" s="55"/>
      <c r="BZ126" s="55"/>
      <c r="CA126" s="55"/>
      <c r="CB126" s="55"/>
      <c r="CC126" s="55"/>
      <c r="CD126" s="55"/>
      <c r="CE126" s="55"/>
      <c r="CF126" s="55"/>
      <c r="CG126" s="55"/>
      <c r="CH126" s="55"/>
      <c r="CI126" s="55"/>
      <c r="CJ126" s="55"/>
      <c r="CK126" s="55"/>
      <c r="CL126" s="55"/>
      <c r="CM126" s="55"/>
      <c r="CN126" s="55"/>
      <c r="CO126" s="55"/>
      <c r="CP126" s="55"/>
      <c r="CQ126" s="55"/>
      <c r="CR126" s="55"/>
      <c r="CS126" s="55"/>
      <c r="CT126" s="55"/>
      <c r="CU126" s="55"/>
      <c r="CV126" s="55"/>
    </row>
    <row r="127" spans="1:10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c r="BL127" s="55"/>
      <c r="BM127" s="55"/>
      <c r="BN127" s="55"/>
      <c r="BO127" s="55"/>
      <c r="BP127" s="55"/>
      <c r="BQ127" s="55"/>
      <c r="BR127" s="55"/>
      <c r="BS127" s="55"/>
      <c r="BT127" s="55"/>
      <c r="BU127" s="55"/>
      <c r="BV127" s="55"/>
      <c r="BW127" s="55"/>
      <c r="BX127" s="55"/>
      <c r="BY127" s="55"/>
      <c r="BZ127" s="55"/>
      <c r="CA127" s="55"/>
      <c r="CB127" s="55"/>
      <c r="CC127" s="55"/>
      <c r="CD127" s="55"/>
      <c r="CE127" s="55"/>
      <c r="CF127" s="55"/>
      <c r="CG127" s="55"/>
      <c r="CH127" s="55"/>
      <c r="CI127" s="55"/>
      <c r="CJ127" s="55"/>
      <c r="CK127" s="55"/>
      <c r="CL127" s="55"/>
      <c r="CM127" s="55"/>
      <c r="CN127" s="55"/>
      <c r="CO127" s="55"/>
      <c r="CP127" s="55"/>
      <c r="CQ127" s="55"/>
      <c r="CR127" s="55"/>
      <c r="CS127" s="55"/>
      <c r="CT127" s="55"/>
      <c r="CU127" s="55"/>
      <c r="CV127" s="55"/>
    </row>
    <row r="128" spans="1:10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c r="BL128" s="55"/>
      <c r="BM128" s="55"/>
      <c r="BN128" s="55"/>
      <c r="BO128" s="55"/>
      <c r="BP128" s="55"/>
      <c r="BQ128" s="55"/>
      <c r="BR128" s="55"/>
      <c r="BS128" s="55"/>
      <c r="BT128" s="55"/>
      <c r="BU128" s="55"/>
      <c r="BV128" s="55"/>
      <c r="BW128" s="55"/>
      <c r="BX128" s="55"/>
      <c r="BY128" s="55"/>
      <c r="BZ128" s="55"/>
      <c r="CA128" s="55"/>
      <c r="CB128" s="55"/>
      <c r="CC128" s="55"/>
      <c r="CD128" s="55"/>
      <c r="CE128" s="55"/>
      <c r="CF128" s="55"/>
      <c r="CG128" s="55"/>
      <c r="CH128" s="55"/>
      <c r="CI128" s="55"/>
      <c r="CJ128" s="55"/>
      <c r="CK128" s="55"/>
      <c r="CL128" s="55"/>
      <c r="CM128" s="55"/>
      <c r="CN128" s="55"/>
      <c r="CO128" s="55"/>
      <c r="CP128" s="55"/>
      <c r="CQ128" s="55"/>
      <c r="CR128" s="55"/>
      <c r="CS128" s="55"/>
      <c r="CT128" s="55"/>
      <c r="CU128" s="55"/>
      <c r="CV128" s="55"/>
    </row>
    <row r="129" spans="1:10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c r="BL129" s="55"/>
      <c r="BM129" s="55"/>
      <c r="BN129" s="55"/>
      <c r="BO129" s="55"/>
      <c r="BP129" s="55"/>
      <c r="BQ129" s="55"/>
      <c r="BR129" s="55"/>
      <c r="BS129" s="55"/>
      <c r="BT129" s="55"/>
      <c r="BU129" s="55"/>
      <c r="BV129" s="55"/>
      <c r="BW129" s="55"/>
      <c r="BX129" s="55"/>
      <c r="BY129" s="55"/>
      <c r="BZ129" s="55"/>
      <c r="CA129" s="55"/>
      <c r="CB129" s="55"/>
      <c r="CC129" s="55"/>
      <c r="CD129" s="55"/>
      <c r="CE129" s="55"/>
      <c r="CF129" s="55"/>
      <c r="CG129" s="55"/>
      <c r="CH129" s="55"/>
      <c r="CI129" s="55"/>
      <c r="CJ129" s="55"/>
      <c r="CK129" s="55"/>
      <c r="CL129" s="55"/>
      <c r="CM129" s="55"/>
      <c r="CN129" s="55"/>
      <c r="CO129" s="55"/>
      <c r="CP129" s="55"/>
      <c r="CQ129" s="55"/>
      <c r="CR129" s="55"/>
      <c r="CS129" s="55"/>
      <c r="CT129" s="55"/>
      <c r="CU129" s="55"/>
      <c r="CV129" s="55"/>
    </row>
    <row r="130" spans="1:10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c r="CR130" s="55"/>
      <c r="CS130" s="55"/>
      <c r="CT130" s="55"/>
      <c r="CU130" s="55"/>
      <c r="CV130" s="55"/>
    </row>
    <row r="131" spans="1:10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c r="BL131" s="55"/>
      <c r="BM131" s="55"/>
      <c r="BN131" s="55"/>
      <c r="BO131" s="55"/>
      <c r="BP131" s="55"/>
      <c r="BQ131" s="55"/>
      <c r="BR131" s="55"/>
      <c r="BS131" s="55"/>
      <c r="BT131" s="55"/>
      <c r="BU131" s="55"/>
      <c r="BV131" s="55"/>
      <c r="BW131" s="55"/>
      <c r="BX131" s="55"/>
      <c r="BY131" s="55"/>
      <c r="BZ131" s="55"/>
      <c r="CA131" s="55"/>
      <c r="CB131" s="55"/>
      <c r="CC131" s="55"/>
      <c r="CD131" s="55"/>
      <c r="CE131" s="55"/>
      <c r="CF131" s="55"/>
      <c r="CG131" s="55"/>
      <c r="CH131" s="55"/>
      <c r="CI131" s="55"/>
      <c r="CJ131" s="55"/>
      <c r="CK131" s="55"/>
      <c r="CL131" s="55"/>
      <c r="CM131" s="55"/>
      <c r="CN131" s="55"/>
      <c r="CO131" s="55"/>
      <c r="CP131" s="55"/>
      <c r="CQ131" s="55"/>
      <c r="CR131" s="55"/>
      <c r="CS131" s="55"/>
      <c r="CT131" s="55"/>
      <c r="CU131" s="55"/>
      <c r="CV131" s="55"/>
    </row>
    <row r="132" spans="1:10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c r="BL132" s="55"/>
      <c r="BM132" s="55"/>
      <c r="BN132" s="55"/>
      <c r="BO132" s="55"/>
      <c r="BP132" s="55"/>
      <c r="BQ132" s="55"/>
      <c r="BR132" s="55"/>
      <c r="BS132" s="55"/>
      <c r="BT132" s="55"/>
      <c r="BU132" s="55"/>
      <c r="BV132" s="55"/>
      <c r="BW132" s="55"/>
      <c r="BX132" s="55"/>
      <c r="BY132" s="55"/>
      <c r="BZ132" s="55"/>
      <c r="CA132" s="55"/>
      <c r="CB132" s="55"/>
      <c r="CC132" s="55"/>
      <c r="CD132" s="55"/>
      <c r="CE132" s="55"/>
      <c r="CF132" s="55"/>
      <c r="CG132" s="55"/>
      <c r="CH132" s="55"/>
      <c r="CI132" s="55"/>
      <c r="CJ132" s="55"/>
      <c r="CK132" s="55"/>
      <c r="CL132" s="55"/>
      <c r="CM132" s="55"/>
      <c r="CN132" s="55"/>
      <c r="CO132" s="55"/>
      <c r="CP132" s="55"/>
      <c r="CQ132" s="55"/>
      <c r="CR132" s="55"/>
      <c r="CS132" s="55"/>
      <c r="CT132" s="55"/>
      <c r="CU132" s="55"/>
      <c r="CV132" s="55"/>
    </row>
    <row r="133" spans="1:10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c r="BL133" s="55"/>
      <c r="BM133" s="55"/>
      <c r="BN133" s="55"/>
      <c r="BO133" s="55"/>
      <c r="BP133" s="55"/>
      <c r="BQ133" s="55"/>
      <c r="BR133" s="55"/>
      <c r="BS133" s="55"/>
      <c r="BT133" s="55"/>
      <c r="BU133" s="55"/>
      <c r="BV133" s="55"/>
      <c r="BW133" s="55"/>
      <c r="BX133" s="55"/>
      <c r="BY133" s="55"/>
      <c r="BZ133" s="55"/>
      <c r="CA133" s="55"/>
      <c r="CB133" s="55"/>
      <c r="CC133" s="55"/>
      <c r="CD133" s="55"/>
      <c r="CE133" s="55"/>
      <c r="CF133" s="55"/>
      <c r="CG133" s="55"/>
      <c r="CH133" s="55"/>
      <c r="CI133" s="55"/>
      <c r="CJ133" s="55"/>
      <c r="CK133" s="55"/>
      <c r="CL133" s="55"/>
      <c r="CM133" s="55"/>
      <c r="CN133" s="55"/>
      <c r="CO133" s="55"/>
      <c r="CP133" s="55"/>
      <c r="CQ133" s="55"/>
      <c r="CR133" s="55"/>
      <c r="CS133" s="55"/>
      <c r="CT133" s="55"/>
      <c r="CU133" s="55"/>
      <c r="CV133" s="55"/>
    </row>
    <row r="134" spans="1:10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c r="BL134" s="55"/>
      <c r="BM134" s="55"/>
      <c r="BN134" s="55"/>
      <c r="BO134" s="55"/>
      <c r="BP134" s="55"/>
      <c r="BQ134" s="55"/>
      <c r="BR134" s="55"/>
      <c r="BS134" s="55"/>
      <c r="BT134" s="55"/>
      <c r="BU134" s="55"/>
      <c r="BV134" s="55"/>
      <c r="BW134" s="55"/>
      <c r="BX134" s="55"/>
      <c r="BY134" s="55"/>
      <c r="BZ134" s="55"/>
      <c r="CA134" s="55"/>
      <c r="CB134" s="55"/>
      <c r="CC134" s="55"/>
      <c r="CD134" s="55"/>
      <c r="CE134" s="55"/>
      <c r="CF134" s="55"/>
      <c r="CG134" s="55"/>
      <c r="CH134" s="55"/>
      <c r="CI134" s="55"/>
      <c r="CJ134" s="55"/>
      <c r="CK134" s="55"/>
      <c r="CL134" s="55"/>
      <c r="CM134" s="55"/>
      <c r="CN134" s="55"/>
      <c r="CO134" s="55"/>
      <c r="CP134" s="55"/>
      <c r="CQ134" s="55"/>
      <c r="CR134" s="55"/>
      <c r="CS134" s="55"/>
      <c r="CT134" s="55"/>
      <c r="CU134" s="55"/>
      <c r="CV134" s="55"/>
    </row>
    <row r="135" spans="1:10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c r="BL135" s="55"/>
      <c r="BM135" s="55"/>
      <c r="BN135" s="55"/>
      <c r="BO135" s="55"/>
      <c r="BP135" s="55"/>
      <c r="BQ135" s="55"/>
      <c r="BR135" s="55"/>
      <c r="BS135" s="55"/>
      <c r="BT135" s="55"/>
      <c r="BU135" s="55"/>
      <c r="BV135" s="55"/>
      <c r="BW135" s="55"/>
      <c r="BX135" s="55"/>
      <c r="BY135" s="55"/>
      <c r="BZ135" s="55"/>
      <c r="CA135" s="55"/>
      <c r="CB135" s="55"/>
      <c r="CC135" s="55"/>
      <c r="CD135" s="55"/>
      <c r="CE135" s="55"/>
      <c r="CF135" s="55"/>
      <c r="CG135" s="55"/>
      <c r="CH135" s="55"/>
      <c r="CI135" s="55"/>
      <c r="CJ135" s="55"/>
      <c r="CK135" s="55"/>
      <c r="CL135" s="55"/>
      <c r="CM135" s="55"/>
      <c r="CN135" s="55"/>
      <c r="CO135" s="55"/>
      <c r="CP135" s="55"/>
      <c r="CQ135" s="55"/>
      <c r="CR135" s="55"/>
      <c r="CS135" s="55"/>
      <c r="CT135" s="55"/>
      <c r="CU135" s="55"/>
      <c r="CV135" s="55"/>
    </row>
    <row r="136" spans="1:10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c r="BL136" s="55"/>
      <c r="BM136" s="55"/>
      <c r="BN136" s="55"/>
      <c r="BO136" s="55"/>
      <c r="BP136" s="55"/>
      <c r="BQ136" s="55"/>
      <c r="BR136" s="55"/>
      <c r="BS136" s="55"/>
      <c r="BT136" s="55"/>
      <c r="BU136" s="55"/>
      <c r="BV136" s="55"/>
      <c r="BW136" s="55"/>
      <c r="BX136" s="55"/>
      <c r="BY136" s="55"/>
      <c r="BZ136" s="55"/>
      <c r="CA136" s="55"/>
      <c r="CB136" s="55"/>
      <c r="CC136" s="55"/>
      <c r="CD136" s="55"/>
      <c r="CE136" s="55"/>
      <c r="CF136" s="55"/>
      <c r="CG136" s="55"/>
      <c r="CH136" s="55"/>
      <c r="CI136" s="55"/>
      <c r="CJ136" s="55"/>
      <c r="CK136" s="55"/>
      <c r="CL136" s="55"/>
      <c r="CM136" s="55"/>
      <c r="CN136" s="55"/>
      <c r="CO136" s="55"/>
      <c r="CP136" s="55"/>
      <c r="CQ136" s="55"/>
      <c r="CR136" s="55"/>
      <c r="CS136" s="55"/>
      <c r="CT136" s="55"/>
      <c r="CU136" s="55"/>
      <c r="CV136" s="55"/>
    </row>
    <row r="137" spans="1:10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c r="BI137" s="55"/>
      <c r="BJ137" s="55"/>
      <c r="BK137" s="55"/>
      <c r="BL137" s="55"/>
      <c r="BM137" s="55"/>
      <c r="BN137" s="55"/>
      <c r="BO137" s="55"/>
      <c r="BP137" s="55"/>
      <c r="BQ137" s="55"/>
      <c r="BR137" s="55"/>
      <c r="BS137" s="55"/>
      <c r="BT137" s="55"/>
      <c r="BU137" s="55"/>
      <c r="BV137" s="55"/>
      <c r="BW137" s="55"/>
      <c r="BX137" s="55"/>
      <c r="BY137" s="55"/>
      <c r="BZ137" s="55"/>
      <c r="CA137" s="55"/>
      <c r="CB137" s="55"/>
      <c r="CC137" s="55"/>
      <c r="CD137" s="55"/>
      <c r="CE137" s="55"/>
      <c r="CF137" s="55"/>
      <c r="CG137" s="55"/>
      <c r="CH137" s="55"/>
      <c r="CI137" s="55"/>
      <c r="CJ137" s="55"/>
      <c r="CK137" s="55"/>
      <c r="CL137" s="55"/>
      <c r="CM137" s="55"/>
      <c r="CN137" s="55"/>
      <c r="CO137" s="55"/>
      <c r="CP137" s="55"/>
      <c r="CQ137" s="55"/>
      <c r="CR137" s="55"/>
      <c r="CS137" s="55"/>
      <c r="CT137" s="55"/>
      <c r="CU137" s="55"/>
      <c r="CV137" s="55"/>
    </row>
    <row r="138" spans="1:10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c r="BI138" s="55"/>
      <c r="BJ138" s="55"/>
      <c r="BK138" s="55"/>
      <c r="BL138" s="55"/>
      <c r="BM138" s="55"/>
      <c r="BN138" s="55"/>
      <c r="BO138" s="55"/>
      <c r="BP138" s="55"/>
      <c r="BQ138" s="55"/>
      <c r="BR138" s="55"/>
      <c r="BS138" s="55"/>
      <c r="BT138" s="55"/>
      <c r="BU138" s="55"/>
      <c r="BV138" s="55"/>
      <c r="BW138" s="55"/>
      <c r="BX138" s="55"/>
      <c r="BY138" s="55"/>
      <c r="BZ138" s="55"/>
      <c r="CA138" s="55"/>
      <c r="CB138" s="55"/>
      <c r="CC138" s="55"/>
      <c r="CD138" s="55"/>
      <c r="CE138" s="55"/>
      <c r="CF138" s="55"/>
      <c r="CG138" s="55"/>
      <c r="CH138" s="55"/>
      <c r="CI138" s="55"/>
      <c r="CJ138" s="55"/>
      <c r="CK138" s="55"/>
      <c r="CL138" s="55"/>
      <c r="CM138" s="55"/>
      <c r="CN138" s="55"/>
      <c r="CO138" s="55"/>
      <c r="CP138" s="55"/>
      <c r="CQ138" s="55"/>
      <c r="CR138" s="55"/>
      <c r="CS138" s="55"/>
      <c r="CT138" s="55"/>
      <c r="CU138" s="55"/>
      <c r="CV138" s="55"/>
    </row>
    <row r="139" spans="1:10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c r="BI139" s="55"/>
      <c r="BJ139" s="55"/>
      <c r="BK139" s="55"/>
      <c r="BL139" s="55"/>
      <c r="BM139" s="55"/>
      <c r="BN139" s="55"/>
      <c r="BO139" s="55"/>
      <c r="BP139" s="55"/>
      <c r="BQ139" s="55"/>
      <c r="BR139" s="55"/>
      <c r="BS139" s="55"/>
      <c r="BT139" s="55"/>
      <c r="BU139" s="55"/>
      <c r="BV139" s="55"/>
      <c r="BW139" s="55"/>
      <c r="BX139" s="55"/>
      <c r="BY139" s="55"/>
      <c r="BZ139" s="55"/>
      <c r="CA139" s="55"/>
      <c r="CB139" s="55"/>
      <c r="CC139" s="55"/>
      <c r="CD139" s="55"/>
      <c r="CE139" s="55"/>
    </row>
    <row r="140" spans="1:10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c r="BI140" s="55"/>
      <c r="BJ140" s="55"/>
      <c r="BK140" s="55"/>
      <c r="BL140" s="55"/>
      <c r="BM140" s="55"/>
      <c r="BN140" s="55"/>
      <c r="BO140" s="55"/>
      <c r="BP140" s="55"/>
      <c r="BQ140" s="55"/>
      <c r="BR140" s="55"/>
      <c r="BS140" s="55"/>
      <c r="BT140" s="55"/>
      <c r="BU140" s="55"/>
      <c r="BV140" s="55"/>
      <c r="BW140" s="55"/>
      <c r="BX140" s="55"/>
      <c r="BY140" s="55"/>
      <c r="BZ140" s="55"/>
      <c r="CA140" s="55"/>
      <c r="CB140" s="55"/>
      <c r="CC140" s="55"/>
      <c r="CD140" s="55"/>
      <c r="CE140" s="55"/>
    </row>
    <row r="141" spans="1:10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c r="BI141" s="55"/>
      <c r="BJ141" s="55"/>
      <c r="BK141" s="55"/>
      <c r="BL141" s="55"/>
      <c r="BM141" s="55"/>
      <c r="BN141" s="55"/>
      <c r="BO141" s="55"/>
      <c r="BP141" s="55"/>
      <c r="BQ141" s="55"/>
      <c r="BR141" s="55"/>
      <c r="BS141" s="55"/>
      <c r="BT141" s="55"/>
      <c r="BU141" s="55"/>
      <c r="BV141" s="55"/>
      <c r="BW141" s="55"/>
      <c r="BX141" s="55"/>
      <c r="BY141" s="55"/>
      <c r="BZ141" s="55"/>
      <c r="CA141" s="55"/>
      <c r="CB141" s="55"/>
      <c r="CC141" s="55"/>
      <c r="CD141" s="55"/>
      <c r="CE141" s="55"/>
    </row>
    <row r="142" spans="1:10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c r="BI142" s="55"/>
      <c r="BJ142" s="55"/>
      <c r="BK142" s="55"/>
      <c r="BL142" s="55"/>
      <c r="BM142" s="55"/>
      <c r="BN142" s="55"/>
      <c r="BO142" s="55"/>
      <c r="BP142" s="55"/>
      <c r="BQ142" s="55"/>
      <c r="BR142" s="55"/>
      <c r="BS142" s="55"/>
      <c r="BT142" s="55"/>
      <c r="BU142" s="55"/>
      <c r="BV142" s="55"/>
      <c r="BW142" s="55"/>
      <c r="BX142" s="55"/>
      <c r="BY142" s="55"/>
      <c r="BZ142" s="55"/>
      <c r="CA142" s="55"/>
      <c r="CB142" s="55"/>
      <c r="CC142" s="55"/>
      <c r="CD142" s="55"/>
      <c r="CE142" s="55"/>
    </row>
    <row r="143" spans="1:10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c r="BI143" s="55"/>
      <c r="BJ143" s="55"/>
      <c r="BK143" s="55"/>
      <c r="BL143" s="55"/>
      <c r="BM143" s="55"/>
      <c r="BN143" s="55"/>
      <c r="BO143" s="55"/>
      <c r="BP143" s="55"/>
      <c r="BQ143" s="55"/>
      <c r="BR143" s="55"/>
      <c r="BS143" s="55"/>
      <c r="BT143" s="55"/>
      <c r="BU143" s="55"/>
      <c r="BV143" s="55"/>
      <c r="BW143" s="55"/>
      <c r="BX143" s="55"/>
      <c r="BY143" s="55"/>
      <c r="BZ143" s="55"/>
      <c r="CA143" s="55"/>
      <c r="CB143" s="55"/>
      <c r="CC143" s="55"/>
      <c r="CD143" s="55"/>
      <c r="CE143" s="55"/>
    </row>
    <row r="144" spans="1:10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c r="BI144" s="55"/>
      <c r="BJ144" s="55"/>
      <c r="BK144" s="55"/>
      <c r="BL144" s="55"/>
      <c r="BM144" s="55"/>
      <c r="BN144" s="55"/>
      <c r="BO144" s="55"/>
      <c r="BP144" s="55"/>
      <c r="BQ144" s="55"/>
      <c r="BR144" s="55"/>
      <c r="BS144" s="55"/>
      <c r="BT144" s="55"/>
      <c r="BU144" s="55"/>
      <c r="BV144" s="55"/>
      <c r="BW144" s="55"/>
      <c r="BX144" s="55"/>
      <c r="BY144" s="55"/>
      <c r="BZ144" s="55"/>
      <c r="CA144" s="55"/>
      <c r="CB144" s="55"/>
      <c r="CC144" s="55"/>
      <c r="CD144" s="55"/>
      <c r="CE144" s="55"/>
    </row>
    <row r="145" spans="1:83"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c r="BI145" s="55"/>
      <c r="BJ145" s="55"/>
      <c r="BK145" s="55"/>
      <c r="BL145" s="55"/>
      <c r="BM145" s="55"/>
      <c r="BN145" s="55"/>
      <c r="BO145" s="55"/>
      <c r="BP145" s="55"/>
      <c r="BQ145" s="55"/>
      <c r="BR145" s="55"/>
      <c r="BS145" s="55"/>
      <c r="BT145" s="55"/>
      <c r="BU145" s="55"/>
      <c r="BV145" s="55"/>
      <c r="BW145" s="55"/>
      <c r="BX145" s="55"/>
      <c r="BY145" s="55"/>
      <c r="BZ145" s="55"/>
      <c r="CA145" s="55"/>
      <c r="CB145" s="55"/>
      <c r="CC145" s="55"/>
      <c r="CD145" s="55"/>
      <c r="CE145" s="55"/>
    </row>
    <row r="146" spans="1:83"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c r="BI146" s="55"/>
      <c r="BJ146" s="55"/>
      <c r="BK146" s="55"/>
      <c r="BL146" s="55"/>
      <c r="BM146" s="55"/>
      <c r="BN146" s="55"/>
      <c r="BO146" s="55"/>
      <c r="BP146" s="55"/>
      <c r="BQ146" s="55"/>
      <c r="BR146" s="55"/>
      <c r="BS146" s="55"/>
      <c r="BT146" s="55"/>
      <c r="BU146" s="55"/>
      <c r="BV146" s="55"/>
      <c r="BW146" s="55"/>
      <c r="BX146" s="55"/>
      <c r="BY146" s="55"/>
      <c r="BZ146" s="55"/>
      <c r="CA146" s="55"/>
      <c r="CB146" s="55"/>
      <c r="CC146" s="55"/>
      <c r="CD146" s="55"/>
      <c r="CE146" s="55"/>
    </row>
    <row r="147" spans="1:83"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c r="BI147" s="55"/>
      <c r="BJ147" s="55"/>
      <c r="BK147" s="55"/>
      <c r="BL147" s="55"/>
      <c r="BM147" s="55"/>
      <c r="BN147" s="55"/>
      <c r="BO147" s="55"/>
      <c r="BP147" s="55"/>
      <c r="BQ147" s="55"/>
      <c r="BR147" s="55"/>
      <c r="BS147" s="55"/>
      <c r="BT147" s="55"/>
      <c r="BU147" s="55"/>
      <c r="BV147" s="55"/>
      <c r="BW147" s="55"/>
      <c r="BX147" s="55"/>
      <c r="BY147" s="55"/>
      <c r="BZ147" s="55"/>
      <c r="CA147" s="55"/>
      <c r="CB147" s="55"/>
      <c r="CC147" s="55"/>
      <c r="CD147" s="55"/>
      <c r="CE147" s="55"/>
    </row>
    <row r="148" spans="1:83"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c r="BI148" s="55"/>
      <c r="BJ148" s="55"/>
      <c r="BK148" s="55"/>
      <c r="BL148" s="55"/>
      <c r="BM148" s="55"/>
      <c r="BN148" s="55"/>
      <c r="BO148" s="55"/>
      <c r="BP148" s="55"/>
      <c r="BQ148" s="55"/>
      <c r="BR148" s="55"/>
      <c r="BS148" s="55"/>
      <c r="BT148" s="55"/>
      <c r="BU148" s="55"/>
      <c r="BV148" s="55"/>
      <c r="BW148" s="55"/>
      <c r="BX148" s="55"/>
      <c r="BY148" s="55"/>
      <c r="BZ148" s="55"/>
      <c r="CA148" s="55"/>
      <c r="CB148" s="55"/>
      <c r="CC148" s="55"/>
      <c r="CD148" s="55"/>
      <c r="CE148" s="55"/>
    </row>
    <row r="149" spans="1:83"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c r="BI149" s="55"/>
      <c r="BJ149" s="55"/>
      <c r="BK149" s="55"/>
      <c r="BL149" s="55"/>
      <c r="BM149" s="55"/>
      <c r="BN149" s="55"/>
      <c r="BO149" s="55"/>
      <c r="BP149" s="55"/>
      <c r="BQ149" s="55"/>
      <c r="BR149" s="55"/>
      <c r="BS149" s="55"/>
      <c r="BT149" s="55"/>
      <c r="BU149" s="55"/>
      <c r="BV149" s="55"/>
      <c r="BW149" s="55"/>
      <c r="BX149" s="55"/>
      <c r="BY149" s="55"/>
      <c r="BZ149" s="55"/>
      <c r="CA149" s="55"/>
      <c r="CB149" s="55"/>
      <c r="CC149" s="55"/>
      <c r="CD149" s="55"/>
      <c r="CE149" s="55"/>
    </row>
    <row r="150" spans="1:83"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c r="BI150" s="55"/>
      <c r="BJ150" s="55"/>
      <c r="BK150" s="55"/>
      <c r="BL150" s="55"/>
      <c r="BM150" s="55"/>
      <c r="BN150" s="55"/>
      <c r="BO150" s="55"/>
      <c r="BP150" s="55"/>
      <c r="BQ150" s="55"/>
      <c r="BR150" s="55"/>
      <c r="BS150" s="55"/>
      <c r="BT150" s="55"/>
      <c r="BU150" s="55"/>
      <c r="BV150" s="55"/>
      <c r="BW150" s="55"/>
      <c r="BX150" s="55"/>
      <c r="BY150" s="55"/>
      <c r="BZ150" s="55"/>
      <c r="CA150" s="55"/>
      <c r="CB150" s="55"/>
      <c r="CC150" s="55"/>
      <c r="CD150" s="55"/>
      <c r="CE150" s="55"/>
    </row>
    <row r="151" spans="1:83"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c r="BI151" s="55"/>
      <c r="BJ151" s="55"/>
      <c r="BK151" s="55"/>
      <c r="BL151" s="55"/>
      <c r="BM151" s="55"/>
      <c r="BN151" s="55"/>
      <c r="BO151" s="55"/>
      <c r="BP151" s="55"/>
      <c r="BQ151" s="55"/>
      <c r="BR151" s="55"/>
      <c r="BS151" s="55"/>
      <c r="BT151" s="55"/>
      <c r="BU151" s="55"/>
      <c r="BV151" s="55"/>
      <c r="BW151" s="55"/>
      <c r="BX151" s="55"/>
      <c r="BY151" s="55"/>
      <c r="BZ151" s="55"/>
      <c r="CA151" s="55"/>
      <c r="CB151" s="55"/>
      <c r="CC151" s="55"/>
      <c r="CD151" s="55"/>
      <c r="CE151" s="55"/>
    </row>
    <row r="152" spans="1:83"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c r="BI152" s="55"/>
      <c r="BJ152" s="55"/>
      <c r="BK152" s="55"/>
      <c r="BL152" s="55"/>
      <c r="BM152" s="55"/>
      <c r="BN152" s="55"/>
      <c r="BO152" s="55"/>
      <c r="BP152" s="55"/>
      <c r="BQ152" s="55"/>
      <c r="BR152" s="55"/>
      <c r="BS152" s="55"/>
      <c r="BT152" s="55"/>
      <c r="BU152" s="55"/>
      <c r="BV152" s="55"/>
      <c r="BW152" s="55"/>
      <c r="BX152" s="55"/>
      <c r="BY152" s="55"/>
      <c r="BZ152" s="55"/>
      <c r="CA152" s="55"/>
      <c r="CB152" s="55"/>
      <c r="CC152" s="55"/>
      <c r="CD152" s="55"/>
      <c r="CE152" s="55"/>
    </row>
    <row r="153" spans="1:83"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c r="BI153" s="55"/>
      <c r="BJ153" s="55"/>
      <c r="BK153" s="55"/>
      <c r="BL153" s="55"/>
      <c r="BM153" s="55"/>
      <c r="BN153" s="55"/>
      <c r="BO153" s="55"/>
      <c r="BP153" s="55"/>
      <c r="BQ153" s="55"/>
      <c r="BR153" s="55"/>
      <c r="BS153" s="55"/>
      <c r="BT153" s="55"/>
      <c r="BU153" s="55"/>
      <c r="BV153" s="55"/>
      <c r="BW153" s="55"/>
      <c r="BX153" s="55"/>
      <c r="BY153" s="55"/>
      <c r="BZ153" s="55"/>
      <c r="CA153" s="55"/>
      <c r="CB153" s="55"/>
      <c r="CC153" s="55"/>
      <c r="CD153" s="55"/>
      <c r="CE153" s="55"/>
    </row>
    <row r="154" spans="1:83"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c r="BI154" s="55"/>
      <c r="BJ154" s="55"/>
      <c r="BK154" s="55"/>
      <c r="BL154" s="55"/>
      <c r="BM154" s="55"/>
      <c r="BN154" s="55"/>
      <c r="BO154" s="55"/>
      <c r="BP154" s="55"/>
      <c r="BQ154" s="55"/>
      <c r="BR154" s="55"/>
      <c r="BS154" s="55"/>
      <c r="BT154" s="55"/>
      <c r="BU154" s="55"/>
      <c r="BV154" s="55"/>
      <c r="BW154" s="55"/>
      <c r="BX154" s="55"/>
      <c r="BY154" s="55"/>
      <c r="BZ154" s="55"/>
      <c r="CA154" s="55"/>
      <c r="CB154" s="55"/>
      <c r="CC154" s="55"/>
      <c r="CD154" s="55"/>
      <c r="CE154" s="55"/>
    </row>
    <row r="155" spans="1:83"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c r="BI155" s="55"/>
      <c r="BJ155" s="55"/>
      <c r="BK155" s="55"/>
      <c r="BL155" s="55"/>
      <c r="BM155" s="55"/>
      <c r="BN155" s="55"/>
      <c r="BO155" s="55"/>
      <c r="BP155" s="55"/>
      <c r="BQ155" s="55"/>
      <c r="BR155" s="55"/>
      <c r="BS155" s="55"/>
      <c r="BT155" s="55"/>
      <c r="BU155" s="55"/>
      <c r="BV155" s="55"/>
      <c r="BW155" s="55"/>
      <c r="BX155" s="55"/>
      <c r="BY155" s="55"/>
      <c r="BZ155" s="55"/>
      <c r="CA155" s="55"/>
      <c r="CB155" s="55"/>
      <c r="CC155" s="55"/>
      <c r="CD155" s="55"/>
      <c r="CE155" s="55"/>
    </row>
    <row r="156" spans="1:83"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BQ156" s="55"/>
      <c r="BR156" s="55"/>
      <c r="BS156" s="55"/>
      <c r="BT156" s="55"/>
      <c r="BU156" s="55"/>
      <c r="BV156" s="55"/>
      <c r="BW156" s="55"/>
      <c r="BX156" s="55"/>
      <c r="BY156" s="55"/>
      <c r="BZ156" s="55"/>
      <c r="CA156" s="55"/>
      <c r="CB156" s="55"/>
      <c r="CC156" s="55"/>
      <c r="CD156" s="55"/>
      <c r="CE156" s="55"/>
    </row>
    <row r="157" spans="1:83"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c r="BI157" s="55"/>
      <c r="BJ157" s="55"/>
      <c r="BK157" s="55"/>
      <c r="BL157" s="55"/>
      <c r="BM157" s="55"/>
      <c r="BN157" s="55"/>
      <c r="BO157" s="55"/>
      <c r="BP157" s="55"/>
      <c r="BQ157" s="55"/>
      <c r="BR157" s="55"/>
      <c r="BS157" s="55"/>
      <c r="BT157" s="55"/>
      <c r="BU157" s="55"/>
      <c r="BV157" s="55"/>
      <c r="BW157" s="55"/>
      <c r="BX157" s="55"/>
      <c r="BY157" s="55"/>
      <c r="BZ157" s="55"/>
      <c r="CA157" s="55"/>
      <c r="CB157" s="55"/>
      <c r="CC157" s="55"/>
      <c r="CD157" s="55"/>
      <c r="CE157" s="55"/>
    </row>
    <row r="158" spans="1:83"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c r="BI158" s="55"/>
      <c r="BJ158" s="55"/>
      <c r="BK158" s="55"/>
      <c r="BL158" s="55"/>
      <c r="BM158" s="55"/>
      <c r="BN158" s="55"/>
      <c r="BO158" s="55"/>
      <c r="BP158" s="55"/>
      <c r="BQ158" s="55"/>
      <c r="BR158" s="55"/>
      <c r="BS158" s="55"/>
      <c r="BT158" s="55"/>
      <c r="BU158" s="55"/>
      <c r="BV158" s="55"/>
      <c r="BW158" s="55"/>
      <c r="BX158" s="55"/>
      <c r="BY158" s="55"/>
      <c r="BZ158" s="55"/>
      <c r="CA158" s="55"/>
      <c r="CB158" s="55"/>
      <c r="CC158" s="55"/>
      <c r="CD158" s="55"/>
      <c r="CE158" s="55"/>
    </row>
    <row r="159" spans="1:83"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c r="BI159" s="55"/>
      <c r="BJ159" s="55"/>
      <c r="BK159" s="55"/>
      <c r="BL159" s="55"/>
      <c r="BM159" s="55"/>
      <c r="BN159" s="55"/>
      <c r="BO159" s="55"/>
      <c r="BP159" s="55"/>
      <c r="BQ159" s="55"/>
      <c r="BR159" s="55"/>
      <c r="BS159" s="55"/>
      <c r="BT159" s="55"/>
      <c r="BU159" s="55"/>
      <c r="BV159" s="55"/>
      <c r="BW159" s="55"/>
      <c r="BX159" s="55"/>
      <c r="BY159" s="55"/>
      <c r="BZ159" s="55"/>
      <c r="CA159" s="55"/>
      <c r="CB159" s="55"/>
      <c r="CC159" s="55"/>
      <c r="CD159" s="55"/>
      <c r="CE159" s="55"/>
    </row>
    <row r="160" spans="1:83"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c r="BI160" s="55"/>
      <c r="BJ160" s="55"/>
      <c r="BK160" s="55"/>
      <c r="BL160" s="55"/>
      <c r="BM160" s="55"/>
      <c r="BN160" s="55"/>
      <c r="BO160" s="55"/>
      <c r="BP160" s="55"/>
      <c r="BQ160" s="55"/>
      <c r="BR160" s="55"/>
      <c r="BS160" s="55"/>
      <c r="BT160" s="55"/>
      <c r="BU160" s="55"/>
      <c r="BV160" s="55"/>
      <c r="BW160" s="55"/>
      <c r="BX160" s="55"/>
      <c r="BY160" s="55"/>
      <c r="BZ160" s="55"/>
      <c r="CA160" s="55"/>
      <c r="CB160" s="55"/>
      <c r="CC160" s="55"/>
      <c r="CD160" s="55"/>
      <c r="CE160" s="55"/>
    </row>
    <row r="161" spans="1:83"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55"/>
      <c r="BL161" s="55"/>
      <c r="BM161" s="55"/>
      <c r="BN161" s="55"/>
      <c r="BO161" s="55"/>
      <c r="BP161" s="55"/>
      <c r="BQ161" s="55"/>
      <c r="BR161" s="55"/>
      <c r="BS161" s="55"/>
      <c r="BT161" s="55"/>
      <c r="BU161" s="55"/>
      <c r="BV161" s="55"/>
      <c r="BW161" s="55"/>
      <c r="BX161" s="55"/>
      <c r="BY161" s="55"/>
      <c r="BZ161" s="55"/>
      <c r="CA161" s="55"/>
      <c r="CB161" s="55"/>
      <c r="CC161" s="55"/>
      <c r="CD161" s="55"/>
      <c r="CE161" s="55"/>
    </row>
    <row r="162" spans="1:83"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c r="BI162" s="55"/>
      <c r="BJ162" s="55"/>
      <c r="BK162" s="55"/>
      <c r="BL162" s="55"/>
      <c r="BM162" s="55"/>
      <c r="BN162" s="55"/>
      <c r="BO162" s="55"/>
      <c r="BP162" s="55"/>
      <c r="BQ162" s="55"/>
      <c r="BR162" s="55"/>
      <c r="BS162" s="55"/>
      <c r="BT162" s="55"/>
      <c r="BU162" s="55"/>
      <c r="BV162" s="55"/>
      <c r="BW162" s="55"/>
      <c r="BX162" s="55"/>
      <c r="BY162" s="55"/>
      <c r="BZ162" s="55"/>
      <c r="CA162" s="55"/>
      <c r="CB162" s="55"/>
      <c r="CC162" s="55"/>
      <c r="CD162" s="55"/>
      <c r="CE162" s="55"/>
    </row>
    <row r="163" spans="1:83"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c r="BI163" s="55"/>
      <c r="BJ163" s="55"/>
      <c r="BK163" s="55"/>
      <c r="BL163" s="55"/>
      <c r="BM163" s="55"/>
      <c r="BN163" s="55"/>
      <c r="BO163" s="55"/>
      <c r="BP163" s="55"/>
      <c r="BQ163" s="55"/>
      <c r="BR163" s="55"/>
      <c r="BS163" s="55"/>
      <c r="BT163" s="55"/>
      <c r="BU163" s="55"/>
      <c r="BV163" s="55"/>
      <c r="BW163" s="55"/>
      <c r="BX163" s="55"/>
      <c r="BY163" s="55"/>
      <c r="BZ163" s="55"/>
      <c r="CA163" s="55"/>
      <c r="CB163" s="55"/>
      <c r="CC163" s="55"/>
      <c r="CD163" s="55"/>
      <c r="CE163" s="55"/>
    </row>
    <row r="164" spans="1:83"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c r="BI164" s="55"/>
      <c r="BJ164" s="55"/>
      <c r="BK164" s="55"/>
      <c r="BL164" s="55"/>
      <c r="BM164" s="55"/>
      <c r="BN164" s="55"/>
      <c r="BO164" s="55"/>
      <c r="BP164" s="55"/>
      <c r="BQ164" s="55"/>
      <c r="BR164" s="55"/>
      <c r="BS164" s="55"/>
      <c r="BT164" s="55"/>
      <c r="BU164" s="55"/>
      <c r="BV164" s="55"/>
      <c r="BW164" s="55"/>
      <c r="BX164" s="55"/>
      <c r="BY164" s="55"/>
      <c r="BZ164" s="55"/>
      <c r="CA164" s="55"/>
      <c r="CB164" s="55"/>
      <c r="CC164" s="55"/>
      <c r="CD164" s="55"/>
      <c r="CE164" s="55"/>
    </row>
    <row r="165" spans="1:83"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c r="BI165" s="55"/>
      <c r="BJ165" s="55"/>
      <c r="BK165" s="55"/>
      <c r="BL165" s="55"/>
      <c r="BM165" s="55"/>
      <c r="BN165" s="55"/>
      <c r="BO165" s="55"/>
      <c r="BP165" s="55"/>
      <c r="BQ165" s="55"/>
      <c r="BR165" s="55"/>
      <c r="BS165" s="55"/>
      <c r="BT165" s="55"/>
      <c r="BU165" s="55"/>
      <c r="BV165" s="55"/>
      <c r="BW165" s="55"/>
      <c r="BX165" s="55"/>
      <c r="BY165" s="55"/>
      <c r="BZ165" s="55"/>
      <c r="CA165" s="55"/>
      <c r="CB165" s="55"/>
      <c r="CC165" s="55"/>
      <c r="CD165" s="55"/>
      <c r="CE165" s="55"/>
    </row>
    <row r="166" spans="1:83"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c r="BI166" s="55"/>
      <c r="BJ166" s="55"/>
      <c r="BK166" s="55"/>
      <c r="BL166" s="55"/>
      <c r="BM166" s="55"/>
      <c r="BN166" s="55"/>
      <c r="BO166" s="55"/>
      <c r="BP166" s="55"/>
      <c r="BQ166" s="55"/>
      <c r="BR166" s="55"/>
      <c r="BS166" s="55"/>
      <c r="BT166" s="55"/>
      <c r="BU166" s="55"/>
      <c r="BV166" s="55"/>
      <c r="BW166" s="55"/>
      <c r="BX166" s="55"/>
      <c r="BY166" s="55"/>
      <c r="BZ166" s="55"/>
      <c r="CA166" s="55"/>
      <c r="CB166" s="55"/>
      <c r="CC166" s="55"/>
      <c r="CD166" s="55"/>
      <c r="CE166" s="55"/>
    </row>
    <row r="167" spans="1:83"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c r="BI167" s="55"/>
      <c r="BJ167" s="55"/>
      <c r="BK167" s="55"/>
      <c r="BL167" s="55"/>
      <c r="BM167" s="55"/>
      <c r="BN167" s="55"/>
      <c r="BO167" s="55"/>
      <c r="BP167" s="55"/>
      <c r="BQ167" s="55"/>
      <c r="BR167" s="55"/>
      <c r="BS167" s="55"/>
      <c r="BT167" s="55"/>
      <c r="BU167" s="55"/>
      <c r="BV167" s="55"/>
      <c r="BW167" s="55"/>
      <c r="BX167" s="55"/>
      <c r="BY167" s="55"/>
      <c r="BZ167" s="55"/>
      <c r="CA167" s="55"/>
      <c r="CB167" s="55"/>
      <c r="CC167" s="55"/>
      <c r="CD167" s="55"/>
      <c r="CE167" s="55"/>
    </row>
    <row r="168" spans="1:83"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55"/>
      <c r="CE168" s="55"/>
    </row>
    <row r="169" spans="1:83"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c r="BI169" s="55"/>
      <c r="BJ169" s="55"/>
      <c r="BK169" s="55"/>
      <c r="BL169" s="55"/>
      <c r="BM169" s="55"/>
      <c r="BN169" s="55"/>
      <c r="BO169" s="55"/>
      <c r="BP169" s="55"/>
      <c r="BQ169" s="55"/>
      <c r="BR169" s="55"/>
      <c r="BS169" s="55"/>
      <c r="BT169" s="55"/>
      <c r="BU169" s="55"/>
      <c r="BV169" s="55"/>
      <c r="BW169" s="55"/>
      <c r="BX169" s="55"/>
      <c r="BY169" s="55"/>
      <c r="BZ169" s="55"/>
      <c r="CA169" s="55"/>
      <c r="CB169" s="55"/>
      <c r="CC169" s="55"/>
      <c r="CD169" s="55"/>
      <c r="CE169" s="55"/>
    </row>
    <row r="170" spans="1:83"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c r="BI170" s="55"/>
      <c r="BJ170" s="55"/>
      <c r="BK170" s="55"/>
      <c r="BL170" s="55"/>
      <c r="BM170" s="55"/>
      <c r="BN170" s="55"/>
      <c r="BO170" s="55"/>
      <c r="BP170" s="55"/>
      <c r="BQ170" s="55"/>
      <c r="BR170" s="55"/>
      <c r="BS170" s="55"/>
      <c r="BT170" s="55"/>
      <c r="BU170" s="55"/>
      <c r="BV170" s="55"/>
      <c r="BW170" s="55"/>
      <c r="BX170" s="55"/>
      <c r="BY170" s="55"/>
      <c r="BZ170" s="55"/>
      <c r="CA170" s="55"/>
      <c r="CB170" s="55"/>
      <c r="CC170" s="55"/>
      <c r="CD170" s="55"/>
      <c r="CE170" s="55"/>
    </row>
    <row r="171" spans="1:83"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c r="BI171" s="55"/>
      <c r="BJ171" s="55"/>
      <c r="BK171" s="55"/>
      <c r="BL171" s="55"/>
      <c r="BM171" s="55"/>
      <c r="BN171" s="55"/>
      <c r="BO171" s="55"/>
      <c r="BP171" s="55"/>
      <c r="BQ171" s="55"/>
      <c r="BR171" s="55"/>
      <c r="BS171" s="55"/>
      <c r="BT171" s="55"/>
      <c r="BU171" s="55"/>
      <c r="BV171" s="55"/>
      <c r="BW171" s="55"/>
      <c r="BX171" s="55"/>
      <c r="BY171" s="55"/>
      <c r="BZ171" s="55"/>
      <c r="CA171" s="55"/>
      <c r="CB171" s="55"/>
      <c r="CC171" s="55"/>
      <c r="CD171" s="55"/>
      <c r="CE171" s="55"/>
    </row>
    <row r="172" spans="1:83"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c r="BI172" s="55"/>
      <c r="BJ172" s="55"/>
      <c r="BK172" s="55"/>
      <c r="BL172" s="55"/>
      <c r="BM172" s="55"/>
      <c r="BN172" s="55"/>
      <c r="BO172" s="55"/>
      <c r="BP172" s="55"/>
      <c r="BQ172" s="55"/>
      <c r="BR172" s="55"/>
      <c r="BS172" s="55"/>
      <c r="BT172" s="55"/>
      <c r="BU172" s="55"/>
      <c r="BV172" s="55"/>
      <c r="BW172" s="55"/>
      <c r="BX172" s="55"/>
      <c r="BY172" s="55"/>
      <c r="BZ172" s="55"/>
      <c r="CA172" s="55"/>
      <c r="CB172" s="55"/>
      <c r="CC172" s="55"/>
      <c r="CD172" s="55"/>
      <c r="CE172" s="55"/>
    </row>
    <row r="173" spans="1:83"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c r="BI173" s="55"/>
      <c r="BJ173" s="55"/>
      <c r="BK173" s="55"/>
      <c r="BL173" s="55"/>
      <c r="BM173" s="55"/>
      <c r="BN173" s="55"/>
      <c r="BO173" s="55"/>
      <c r="BP173" s="55"/>
      <c r="BQ173" s="55"/>
      <c r="BR173" s="55"/>
      <c r="BS173" s="55"/>
      <c r="BT173" s="55"/>
      <c r="BU173" s="55"/>
      <c r="BV173" s="55"/>
      <c r="BW173" s="55"/>
      <c r="BX173" s="55"/>
      <c r="BY173" s="55"/>
      <c r="BZ173" s="55"/>
      <c r="CA173" s="55"/>
      <c r="CB173" s="55"/>
      <c r="CC173" s="55"/>
      <c r="CD173" s="55"/>
      <c r="CE173" s="55"/>
    </row>
    <row r="174" spans="1:83"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c r="BI174" s="55"/>
      <c r="BJ174" s="55"/>
      <c r="BK174" s="55"/>
      <c r="BL174" s="55"/>
      <c r="BM174" s="55"/>
      <c r="BN174" s="55"/>
      <c r="BO174" s="55"/>
      <c r="BP174" s="55"/>
      <c r="BQ174" s="55"/>
      <c r="BR174" s="55"/>
      <c r="BS174" s="55"/>
      <c r="BT174" s="55"/>
      <c r="BU174" s="55"/>
      <c r="BV174" s="55"/>
      <c r="BW174" s="55"/>
      <c r="BX174" s="55"/>
      <c r="BY174" s="55"/>
      <c r="BZ174" s="55"/>
      <c r="CA174" s="55"/>
      <c r="CB174" s="55"/>
      <c r="CC174" s="55"/>
      <c r="CD174" s="55"/>
      <c r="CE174" s="55"/>
    </row>
    <row r="175" spans="1:83"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c r="BI175" s="55"/>
      <c r="BJ175" s="55"/>
      <c r="BK175" s="55"/>
      <c r="BL175" s="55"/>
      <c r="BM175" s="55"/>
      <c r="BN175" s="55"/>
      <c r="BO175" s="55"/>
      <c r="BP175" s="55"/>
      <c r="BQ175" s="55"/>
      <c r="BR175" s="55"/>
      <c r="BS175" s="55"/>
      <c r="BT175" s="55"/>
      <c r="BU175" s="55"/>
      <c r="BV175" s="55"/>
      <c r="BW175" s="55"/>
      <c r="BX175" s="55"/>
      <c r="BY175" s="55"/>
      <c r="BZ175" s="55"/>
      <c r="CA175" s="55"/>
      <c r="CB175" s="55"/>
      <c r="CC175" s="55"/>
      <c r="CD175" s="55"/>
      <c r="CE175" s="55"/>
    </row>
    <row r="176" spans="1:83"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c r="BI176" s="55"/>
      <c r="BJ176" s="55"/>
      <c r="BK176" s="55"/>
      <c r="BL176" s="55"/>
      <c r="BM176" s="55"/>
      <c r="BN176" s="55"/>
      <c r="BO176" s="55"/>
      <c r="BP176" s="55"/>
      <c r="BQ176" s="55"/>
      <c r="BR176" s="55"/>
      <c r="BS176" s="55"/>
      <c r="BT176" s="55"/>
      <c r="BU176" s="55"/>
      <c r="BV176" s="55"/>
      <c r="BW176" s="55"/>
      <c r="BX176" s="55"/>
      <c r="BY176" s="55"/>
      <c r="BZ176" s="55"/>
      <c r="CA176" s="55"/>
      <c r="CB176" s="55"/>
      <c r="CC176" s="55"/>
      <c r="CD176" s="55"/>
      <c r="CE176" s="55"/>
    </row>
    <row r="177" spans="1:83"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c r="BI177" s="55"/>
      <c r="BJ177" s="55"/>
      <c r="BK177" s="55"/>
      <c r="BL177" s="55"/>
      <c r="BM177" s="55"/>
      <c r="BN177" s="55"/>
      <c r="BO177" s="55"/>
      <c r="BP177" s="55"/>
      <c r="BQ177" s="55"/>
      <c r="BR177" s="55"/>
      <c r="BS177" s="55"/>
      <c r="BT177" s="55"/>
      <c r="BU177" s="55"/>
      <c r="BV177" s="55"/>
      <c r="BW177" s="55"/>
      <c r="BX177" s="55"/>
      <c r="BY177" s="55"/>
      <c r="BZ177" s="55"/>
      <c r="CA177" s="55"/>
      <c r="CB177" s="55"/>
      <c r="CC177" s="55"/>
      <c r="CD177" s="55"/>
      <c r="CE177" s="55"/>
    </row>
    <row r="178" spans="1:83"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c r="BI178" s="55"/>
      <c r="BJ178" s="55"/>
      <c r="BK178" s="55"/>
      <c r="BL178" s="55"/>
      <c r="BM178" s="55"/>
      <c r="BN178" s="55"/>
      <c r="BO178" s="55"/>
      <c r="BP178" s="55"/>
      <c r="BQ178" s="55"/>
      <c r="BR178" s="55"/>
      <c r="BS178" s="55"/>
      <c r="BT178" s="55"/>
      <c r="BU178" s="55"/>
      <c r="BV178" s="55"/>
      <c r="BW178" s="55"/>
      <c r="BX178" s="55"/>
      <c r="BY178" s="55"/>
      <c r="BZ178" s="55"/>
      <c r="CA178" s="55"/>
      <c r="CB178" s="55"/>
      <c r="CC178" s="55"/>
      <c r="CD178" s="55"/>
      <c r="CE178" s="55"/>
    </row>
    <row r="179" spans="1:83"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c r="BI179" s="55"/>
      <c r="BJ179" s="55"/>
      <c r="BK179" s="55"/>
      <c r="BL179" s="55"/>
      <c r="BM179" s="55"/>
      <c r="BN179" s="55"/>
      <c r="BO179" s="55"/>
      <c r="BP179" s="55"/>
      <c r="BQ179" s="55"/>
      <c r="BR179" s="55"/>
      <c r="BS179" s="55"/>
      <c r="BT179" s="55"/>
      <c r="BU179" s="55"/>
      <c r="BV179" s="55"/>
      <c r="BW179" s="55"/>
      <c r="BX179" s="55"/>
      <c r="BY179" s="55"/>
      <c r="BZ179" s="55"/>
      <c r="CA179" s="55"/>
      <c r="CB179" s="55"/>
      <c r="CC179" s="55"/>
      <c r="CD179" s="55"/>
      <c r="CE179" s="55"/>
    </row>
    <row r="180" spans="1:83"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c r="BI180" s="55"/>
      <c r="BJ180" s="55"/>
      <c r="BK180" s="55"/>
      <c r="BL180" s="55"/>
      <c r="BM180" s="55"/>
      <c r="BN180" s="55"/>
      <c r="BO180" s="55"/>
      <c r="BP180" s="55"/>
      <c r="BQ180" s="55"/>
      <c r="BR180" s="55"/>
      <c r="BS180" s="55"/>
      <c r="BT180" s="55"/>
      <c r="BU180" s="55"/>
      <c r="BV180" s="55"/>
      <c r="BW180" s="55"/>
      <c r="BX180" s="55"/>
      <c r="BY180" s="55"/>
      <c r="BZ180" s="55"/>
      <c r="CA180" s="55"/>
      <c r="CB180" s="55"/>
      <c r="CC180" s="55"/>
      <c r="CD180" s="55"/>
      <c r="CE180" s="55"/>
    </row>
    <row r="181" spans="1:83"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c r="BI181" s="55"/>
      <c r="BJ181" s="55"/>
      <c r="BK181" s="55"/>
      <c r="BL181" s="55"/>
      <c r="BM181" s="55"/>
      <c r="BN181" s="55"/>
      <c r="BO181" s="55"/>
      <c r="BP181" s="55"/>
      <c r="BQ181" s="55"/>
      <c r="BR181" s="55"/>
      <c r="BS181" s="55"/>
      <c r="BT181" s="55"/>
      <c r="BU181" s="55"/>
      <c r="BV181" s="55"/>
      <c r="BW181" s="55"/>
      <c r="BX181" s="55"/>
      <c r="BY181" s="55"/>
      <c r="BZ181" s="55"/>
      <c r="CA181" s="55"/>
      <c r="CB181" s="55"/>
      <c r="CC181" s="55"/>
      <c r="CD181" s="55"/>
      <c r="CE181" s="55"/>
    </row>
    <row r="182" spans="1:83" x14ac:dyDescent="0.2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c r="BI182" s="55"/>
      <c r="BJ182" s="55"/>
      <c r="BK182" s="55"/>
      <c r="BL182" s="55"/>
      <c r="BM182" s="55"/>
      <c r="BN182" s="55"/>
      <c r="BO182" s="55"/>
      <c r="BP182" s="55"/>
      <c r="BQ182" s="55"/>
      <c r="BR182" s="55"/>
      <c r="BS182" s="55"/>
      <c r="BT182" s="55"/>
      <c r="BU182" s="55"/>
      <c r="BV182" s="55"/>
      <c r="BW182" s="55"/>
      <c r="BX182" s="55"/>
      <c r="BY182" s="55"/>
      <c r="BZ182" s="55"/>
      <c r="CA182" s="55"/>
      <c r="CB182" s="55"/>
      <c r="CC182" s="55"/>
      <c r="CD182" s="55"/>
      <c r="CE182" s="55"/>
    </row>
    <row r="183" spans="1:83" x14ac:dyDescent="0.2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c r="BI183" s="55"/>
      <c r="BJ183" s="55"/>
      <c r="BK183" s="55"/>
      <c r="BL183" s="55"/>
      <c r="BM183" s="55"/>
      <c r="BN183" s="55"/>
      <c r="BO183" s="55"/>
      <c r="BP183" s="55"/>
      <c r="BQ183" s="55"/>
      <c r="BR183" s="55"/>
      <c r="BS183" s="55"/>
      <c r="BT183" s="55"/>
      <c r="BU183" s="55"/>
      <c r="BV183" s="55"/>
      <c r="BW183" s="55"/>
      <c r="BX183" s="55"/>
      <c r="BY183" s="55"/>
      <c r="BZ183" s="55"/>
      <c r="CA183" s="55"/>
      <c r="CB183" s="55"/>
      <c r="CC183" s="55"/>
      <c r="CD183" s="55"/>
      <c r="CE183" s="55"/>
    </row>
    <row r="184" spans="1:83" x14ac:dyDescent="0.2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c r="BI184" s="55"/>
      <c r="BJ184" s="55"/>
      <c r="BK184" s="55"/>
      <c r="BL184" s="55"/>
      <c r="BM184" s="55"/>
      <c r="BN184" s="55"/>
      <c r="BO184" s="55"/>
      <c r="BP184" s="55"/>
      <c r="BQ184" s="55"/>
      <c r="BR184" s="55"/>
      <c r="BS184" s="55"/>
      <c r="BT184" s="55"/>
      <c r="BU184" s="55"/>
      <c r="BV184" s="55"/>
      <c r="BW184" s="55"/>
      <c r="BX184" s="55"/>
      <c r="BY184" s="55"/>
      <c r="BZ184" s="55"/>
      <c r="CA184" s="55"/>
      <c r="CB184" s="55"/>
      <c r="CC184" s="55"/>
      <c r="CD184" s="55"/>
      <c r="CE184" s="55"/>
    </row>
    <row r="185" spans="1:83" x14ac:dyDescent="0.2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c r="BI185" s="55"/>
      <c r="BJ185" s="55"/>
      <c r="BK185" s="55"/>
      <c r="BL185" s="55"/>
      <c r="BM185" s="55"/>
      <c r="BN185" s="55"/>
      <c r="BO185" s="55"/>
      <c r="BP185" s="55"/>
      <c r="BQ185" s="55"/>
      <c r="BR185" s="55"/>
      <c r="BS185" s="55"/>
      <c r="BT185" s="55"/>
      <c r="BU185" s="55"/>
      <c r="BV185" s="55"/>
      <c r="BW185" s="55"/>
      <c r="BX185" s="55"/>
      <c r="BY185" s="55"/>
      <c r="BZ185" s="55"/>
      <c r="CA185" s="55"/>
      <c r="CB185" s="55"/>
      <c r="CC185" s="55"/>
      <c r="CD185" s="55"/>
      <c r="CE185" s="55"/>
    </row>
    <row r="186" spans="1:83" x14ac:dyDescent="0.2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c r="BI186" s="55"/>
      <c r="BJ186" s="55"/>
      <c r="BK186" s="55"/>
      <c r="BL186" s="55"/>
      <c r="BM186" s="55"/>
      <c r="BN186" s="55"/>
      <c r="BO186" s="55"/>
      <c r="BP186" s="55"/>
      <c r="BQ186" s="55"/>
      <c r="BR186" s="55"/>
      <c r="BS186" s="55"/>
      <c r="BT186" s="55"/>
      <c r="BU186" s="55"/>
      <c r="BV186" s="55"/>
      <c r="BW186" s="55"/>
      <c r="BX186" s="55"/>
      <c r="BY186" s="55"/>
      <c r="BZ186" s="55"/>
      <c r="CA186" s="55"/>
      <c r="CB186" s="55"/>
      <c r="CC186" s="55"/>
      <c r="CD186" s="55"/>
      <c r="CE186" s="55"/>
    </row>
    <row r="187" spans="1:83" x14ac:dyDescent="0.2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c r="BI187" s="55"/>
      <c r="BJ187" s="55"/>
      <c r="BK187" s="55"/>
      <c r="BL187" s="55"/>
      <c r="BM187" s="55"/>
      <c r="BN187" s="55"/>
      <c r="BO187" s="55"/>
      <c r="BP187" s="55"/>
      <c r="BQ187" s="55"/>
      <c r="BR187" s="55"/>
      <c r="BS187" s="55"/>
      <c r="BT187" s="55"/>
      <c r="BU187" s="55"/>
      <c r="BV187" s="55"/>
      <c r="BW187" s="55"/>
      <c r="BX187" s="55"/>
      <c r="BY187" s="55"/>
      <c r="BZ187" s="55"/>
      <c r="CA187" s="55"/>
      <c r="CB187" s="55"/>
      <c r="CC187" s="55"/>
      <c r="CD187" s="55"/>
      <c r="CE187" s="55"/>
    </row>
    <row r="188" spans="1:83" x14ac:dyDescent="0.2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c r="BI188" s="55"/>
      <c r="BJ188" s="55"/>
      <c r="BK188" s="55"/>
      <c r="BL188" s="55"/>
      <c r="BM188" s="55"/>
      <c r="BN188" s="55"/>
      <c r="BO188" s="55"/>
      <c r="BP188" s="55"/>
      <c r="BQ188" s="55"/>
      <c r="BR188" s="55"/>
      <c r="BS188" s="55"/>
      <c r="BT188" s="55"/>
      <c r="BU188" s="55"/>
      <c r="BV188" s="55"/>
      <c r="BW188" s="55"/>
      <c r="BX188" s="55"/>
      <c r="BY188" s="55"/>
      <c r="BZ188" s="55"/>
      <c r="CA188" s="55"/>
      <c r="CB188" s="55"/>
      <c r="CC188" s="55"/>
      <c r="CD188" s="55"/>
      <c r="CE188" s="55"/>
    </row>
    <row r="189" spans="1:83" x14ac:dyDescent="0.2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c r="BI189" s="55"/>
      <c r="BJ189" s="55"/>
      <c r="BK189" s="55"/>
      <c r="BL189" s="55"/>
      <c r="BM189" s="55"/>
      <c r="BN189" s="55"/>
      <c r="BO189" s="55"/>
      <c r="BP189" s="55"/>
      <c r="BQ189" s="55"/>
      <c r="BR189" s="55"/>
      <c r="BS189" s="55"/>
      <c r="BT189" s="55"/>
      <c r="BU189" s="55"/>
      <c r="BV189" s="55"/>
      <c r="BW189" s="55"/>
      <c r="BX189" s="55"/>
      <c r="BY189" s="55"/>
      <c r="BZ189" s="55"/>
      <c r="CA189" s="55"/>
      <c r="CB189" s="55"/>
      <c r="CC189" s="55"/>
      <c r="CD189" s="55"/>
      <c r="CE189" s="55"/>
    </row>
    <row r="190" spans="1:83" x14ac:dyDescent="0.2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c r="BI190" s="55"/>
      <c r="BJ190" s="55"/>
      <c r="BK190" s="55"/>
      <c r="BL190" s="55"/>
      <c r="BM190" s="55"/>
      <c r="BN190" s="55"/>
      <c r="BO190" s="55"/>
      <c r="BP190" s="55"/>
      <c r="BQ190" s="55"/>
      <c r="BR190" s="55"/>
      <c r="BS190" s="55"/>
      <c r="BT190" s="55"/>
      <c r="BU190" s="55"/>
      <c r="BV190" s="55"/>
      <c r="BW190" s="55"/>
      <c r="BX190" s="55"/>
      <c r="BY190" s="55"/>
      <c r="BZ190" s="55"/>
      <c r="CA190" s="55"/>
      <c r="CB190" s="55"/>
      <c r="CC190" s="55"/>
      <c r="CD190" s="55"/>
      <c r="CE190" s="55"/>
    </row>
    <row r="191" spans="1:83" x14ac:dyDescent="0.25">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c r="BI191" s="55"/>
      <c r="BJ191" s="55"/>
      <c r="BK191" s="55"/>
      <c r="BL191" s="55"/>
      <c r="BM191" s="55"/>
      <c r="BN191" s="55"/>
      <c r="BO191" s="55"/>
      <c r="BP191" s="55"/>
      <c r="BQ191" s="55"/>
      <c r="BR191" s="55"/>
      <c r="BS191" s="55"/>
      <c r="BT191" s="55"/>
      <c r="BU191" s="55"/>
      <c r="BV191" s="55"/>
      <c r="BW191" s="55"/>
      <c r="BX191" s="55"/>
      <c r="BY191" s="55"/>
      <c r="BZ191" s="55"/>
      <c r="CA191" s="55"/>
      <c r="CB191" s="55"/>
      <c r="CC191" s="55"/>
      <c r="CD191" s="55"/>
      <c r="CE191" s="55"/>
    </row>
    <row r="192" spans="1:83" x14ac:dyDescent="0.25">
      <c r="B192" s="55"/>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c r="BI192" s="55"/>
      <c r="BJ192" s="55"/>
      <c r="BK192" s="55"/>
      <c r="BL192" s="55"/>
      <c r="BM192" s="55"/>
      <c r="BN192" s="55"/>
      <c r="BO192" s="55"/>
      <c r="BP192" s="55"/>
      <c r="BQ192" s="55"/>
      <c r="BR192" s="55"/>
      <c r="BS192" s="55"/>
      <c r="BT192" s="55"/>
      <c r="BU192" s="55"/>
      <c r="BV192" s="55"/>
      <c r="BW192" s="55"/>
      <c r="BX192" s="55"/>
      <c r="BY192" s="55"/>
      <c r="BZ192" s="55"/>
      <c r="CA192" s="55"/>
      <c r="CB192" s="55"/>
      <c r="CC192" s="55"/>
      <c r="CD192" s="55"/>
      <c r="CE192" s="55"/>
    </row>
    <row r="193" spans="2:83" x14ac:dyDescent="0.25">
      <c r="B193" s="55"/>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c r="BI193" s="55"/>
      <c r="BJ193" s="55"/>
      <c r="BK193" s="55"/>
      <c r="BL193" s="55"/>
      <c r="BM193" s="55"/>
      <c r="BN193" s="55"/>
      <c r="BO193" s="55"/>
      <c r="BP193" s="55"/>
      <c r="BQ193" s="55"/>
      <c r="BR193" s="55"/>
      <c r="BS193" s="55"/>
      <c r="BT193" s="55"/>
      <c r="BU193" s="55"/>
      <c r="BV193" s="55"/>
      <c r="BW193" s="55"/>
      <c r="BX193" s="55"/>
      <c r="BY193" s="55"/>
      <c r="BZ193" s="55"/>
      <c r="CA193" s="55"/>
      <c r="CB193" s="55"/>
      <c r="CC193" s="55"/>
      <c r="CD193" s="55"/>
      <c r="CE193" s="55"/>
    </row>
    <row r="194" spans="2:83" x14ac:dyDescent="0.25">
      <c r="B194" s="55"/>
      <c r="C194" s="55"/>
      <c r="D194" s="55"/>
      <c r="E194" s="55"/>
      <c r="F194" s="55"/>
      <c r="G194" s="55"/>
      <c r="H194" s="55"/>
      <c r="I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c r="BI194" s="55"/>
      <c r="BJ194" s="55"/>
      <c r="BK194" s="55"/>
      <c r="BL194" s="55"/>
      <c r="BM194" s="55"/>
      <c r="BN194" s="55"/>
      <c r="BO194" s="55"/>
      <c r="BP194" s="55"/>
      <c r="BQ194" s="55"/>
      <c r="BR194" s="55"/>
      <c r="BS194" s="55"/>
      <c r="BT194" s="55"/>
      <c r="BU194" s="55"/>
      <c r="BV194" s="55"/>
      <c r="BW194" s="55"/>
      <c r="BX194" s="55"/>
      <c r="BY194" s="55"/>
      <c r="BZ194" s="55"/>
      <c r="CA194" s="55"/>
      <c r="CB194" s="55"/>
      <c r="CC194" s="55"/>
      <c r="CD194" s="55"/>
      <c r="CE194" s="55"/>
    </row>
    <row r="195" spans="2:83" x14ac:dyDescent="0.25">
      <c r="B195" s="55"/>
      <c r="C195" s="55"/>
      <c r="D195" s="55"/>
      <c r="E195" s="55"/>
      <c r="F195" s="55"/>
      <c r="G195" s="55"/>
      <c r="H195" s="55"/>
      <c r="I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c r="BI195" s="55"/>
      <c r="BJ195" s="55"/>
      <c r="BK195" s="55"/>
      <c r="BL195" s="55"/>
      <c r="BM195" s="55"/>
      <c r="BN195" s="55"/>
      <c r="BO195" s="55"/>
      <c r="BP195" s="55"/>
      <c r="BQ195" s="55"/>
      <c r="BR195" s="55"/>
      <c r="BS195" s="55"/>
      <c r="BT195" s="55"/>
      <c r="BU195" s="55"/>
      <c r="BV195" s="55"/>
      <c r="BW195" s="55"/>
      <c r="BX195" s="55"/>
      <c r="BY195" s="55"/>
      <c r="BZ195" s="55"/>
      <c r="CA195" s="55"/>
      <c r="CB195" s="55"/>
      <c r="CC195" s="55"/>
      <c r="CD195" s="55"/>
      <c r="CE195" s="55"/>
    </row>
    <row r="196" spans="2:83" x14ac:dyDescent="0.25">
      <c r="B196" s="55"/>
      <c r="C196" s="55"/>
      <c r="D196" s="55"/>
      <c r="E196" s="55"/>
      <c r="F196" s="55"/>
      <c r="G196" s="55"/>
      <c r="H196" s="55"/>
      <c r="I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c r="BI196" s="55"/>
      <c r="BJ196" s="55"/>
      <c r="BK196" s="55"/>
      <c r="BL196" s="55"/>
      <c r="BM196" s="55"/>
      <c r="BN196" s="55"/>
      <c r="BO196" s="55"/>
      <c r="BP196" s="55"/>
      <c r="BQ196" s="55"/>
      <c r="BR196" s="55"/>
      <c r="BS196" s="55"/>
      <c r="BT196" s="55"/>
      <c r="BU196" s="55"/>
      <c r="BV196" s="55"/>
      <c r="BW196" s="55"/>
      <c r="BX196" s="55"/>
      <c r="BY196" s="55"/>
      <c r="BZ196" s="55"/>
      <c r="CA196" s="55"/>
      <c r="CB196" s="55"/>
      <c r="CC196" s="55"/>
      <c r="CD196" s="55"/>
      <c r="CE196" s="55"/>
    </row>
    <row r="197" spans="2:83" x14ac:dyDescent="0.25">
      <c r="B197" s="55"/>
      <c r="C197" s="55"/>
      <c r="D197" s="55"/>
      <c r="E197" s="55"/>
      <c r="F197" s="55"/>
      <c r="G197" s="55"/>
      <c r="H197" s="55"/>
      <c r="I197" s="55"/>
      <c r="BI197" s="55"/>
      <c r="BJ197" s="55"/>
      <c r="BK197" s="55"/>
      <c r="BL197" s="55"/>
      <c r="BM197" s="55"/>
      <c r="BN197" s="55"/>
    </row>
    <row r="198" spans="2:83" x14ac:dyDescent="0.25">
      <c r="B198" s="55"/>
      <c r="C198" s="55"/>
      <c r="D198" s="55"/>
      <c r="E198" s="55"/>
      <c r="F198" s="55"/>
      <c r="G198" s="55"/>
      <c r="H198" s="55"/>
      <c r="I198" s="55"/>
      <c r="BI198" s="55"/>
      <c r="BJ198" s="55"/>
      <c r="BK198" s="55"/>
      <c r="BL198" s="55"/>
      <c r="BM198" s="55"/>
      <c r="BN198" s="55"/>
    </row>
    <row r="199" spans="2:83" x14ac:dyDescent="0.25">
      <c r="B199" s="55"/>
      <c r="C199" s="55"/>
      <c r="D199" s="55"/>
      <c r="E199" s="55"/>
      <c r="F199" s="55"/>
      <c r="G199" s="55"/>
      <c r="H199" s="55"/>
      <c r="I199" s="55"/>
      <c r="BI199" s="55"/>
      <c r="BJ199" s="55"/>
      <c r="BK199" s="55"/>
      <c r="BL199" s="55"/>
      <c r="BM199" s="55"/>
      <c r="BN199" s="55"/>
    </row>
    <row r="200" spans="2:83" x14ac:dyDescent="0.25">
      <c r="B200" s="55"/>
      <c r="C200" s="55"/>
      <c r="D200" s="55"/>
      <c r="E200" s="55"/>
      <c r="F200" s="55"/>
      <c r="G200" s="55"/>
      <c r="H200" s="55"/>
      <c r="I200" s="55"/>
      <c r="BI200" s="55"/>
      <c r="BJ200" s="55"/>
      <c r="BK200" s="55"/>
      <c r="BL200" s="55"/>
      <c r="BM200" s="55"/>
      <c r="BN200" s="55"/>
    </row>
    <row r="201" spans="2:83" x14ac:dyDescent="0.25">
      <c r="BI201" s="55"/>
      <c r="BJ201" s="55"/>
      <c r="BK201" s="55"/>
      <c r="BL201" s="55"/>
      <c r="BM201" s="55"/>
      <c r="BN201" s="55"/>
    </row>
    <row r="202" spans="2:83" x14ac:dyDescent="0.25">
      <c r="BI202" s="55"/>
      <c r="BJ202" s="55"/>
      <c r="BK202" s="55"/>
      <c r="BL202" s="55"/>
      <c r="BM202" s="55"/>
      <c r="BN202" s="55"/>
    </row>
    <row r="203" spans="2:83" x14ac:dyDescent="0.25">
      <c r="BI203" s="55"/>
      <c r="BJ203" s="55"/>
      <c r="BK203" s="55"/>
      <c r="BL203" s="55"/>
      <c r="BM203" s="55"/>
      <c r="BN203" s="55"/>
    </row>
    <row r="204" spans="2:83" x14ac:dyDescent="0.25">
      <c r="BI204" s="55"/>
      <c r="BJ204" s="55"/>
      <c r="BK204" s="55"/>
      <c r="BL204" s="55"/>
      <c r="BM204" s="55"/>
      <c r="BN204" s="55"/>
    </row>
  </sheetData>
  <mergeCells count="1267">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55"/>
      <c r="B1" s="549" t="s">
        <v>49</v>
      </c>
      <c r="C1" s="549"/>
      <c r="D1" s="549"/>
      <c r="E1" s="55"/>
      <c r="F1" s="55"/>
      <c r="G1" s="55"/>
      <c r="H1" s="55"/>
      <c r="I1" s="55"/>
      <c r="J1" s="55"/>
      <c r="K1" s="55"/>
      <c r="L1" s="55"/>
      <c r="M1" s="55"/>
      <c r="N1" s="55"/>
      <c r="O1" s="55"/>
      <c r="P1" s="55"/>
      <c r="Q1" s="55"/>
      <c r="R1" s="55"/>
      <c r="S1" s="55"/>
      <c r="T1" s="55"/>
      <c r="U1" s="55"/>
      <c r="V1" s="55"/>
      <c r="W1" s="55"/>
      <c r="X1" s="55"/>
      <c r="Y1" s="55"/>
      <c r="Z1" s="55"/>
      <c r="AA1" s="55"/>
      <c r="AB1" s="55"/>
      <c r="AC1" s="55"/>
      <c r="AD1" s="55"/>
      <c r="AE1" s="55"/>
    </row>
    <row r="2" spans="1:37" x14ac:dyDescent="0.25">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row>
    <row r="3" spans="1:37" ht="25.5" x14ac:dyDescent="0.25">
      <c r="A3" s="55"/>
      <c r="B3" s="6"/>
      <c r="C3" s="7" t="s">
        <v>46</v>
      </c>
      <c r="D3" s="7" t="s">
        <v>4</v>
      </c>
      <c r="E3" s="55"/>
      <c r="F3" s="55"/>
      <c r="G3" s="55"/>
      <c r="H3" s="55"/>
      <c r="I3" s="55"/>
      <c r="J3" s="55"/>
      <c r="K3" s="55"/>
      <c r="L3" s="55"/>
      <c r="M3" s="55"/>
      <c r="N3" s="55"/>
      <c r="O3" s="55"/>
      <c r="P3" s="55"/>
      <c r="Q3" s="55"/>
      <c r="R3" s="55"/>
      <c r="S3" s="55"/>
      <c r="T3" s="55"/>
      <c r="U3" s="55"/>
      <c r="V3" s="55"/>
      <c r="W3" s="55"/>
      <c r="X3" s="55"/>
      <c r="Y3" s="55"/>
      <c r="Z3" s="55"/>
      <c r="AA3" s="55"/>
      <c r="AB3" s="55"/>
      <c r="AC3" s="55"/>
      <c r="AD3" s="55"/>
      <c r="AE3" s="55"/>
    </row>
    <row r="4" spans="1:37" ht="51" x14ac:dyDescent="0.25">
      <c r="A4" s="55"/>
      <c r="B4" s="8" t="s">
        <v>45</v>
      </c>
      <c r="C4" s="9" t="s">
        <v>93</v>
      </c>
      <c r="D4" s="10">
        <v>0.2</v>
      </c>
      <c r="E4" s="55"/>
      <c r="F4" s="55"/>
      <c r="G4" s="55"/>
      <c r="H4" s="55"/>
      <c r="I4" s="55"/>
      <c r="J4" s="55"/>
      <c r="K4" s="55"/>
      <c r="L4" s="55"/>
      <c r="M4" s="55"/>
      <c r="N4" s="55"/>
      <c r="O4" s="55"/>
      <c r="P4" s="55"/>
      <c r="Q4" s="55"/>
      <c r="R4" s="55"/>
      <c r="S4" s="55"/>
      <c r="T4" s="55"/>
      <c r="U4" s="55"/>
      <c r="V4" s="55"/>
      <c r="W4" s="55"/>
      <c r="X4" s="55"/>
      <c r="Y4" s="55"/>
      <c r="Z4" s="55"/>
      <c r="AA4" s="55"/>
      <c r="AB4" s="55"/>
      <c r="AC4" s="55"/>
      <c r="AD4" s="55"/>
      <c r="AE4" s="55"/>
    </row>
    <row r="5" spans="1:37" ht="51" x14ac:dyDescent="0.25">
      <c r="A5" s="55"/>
      <c r="B5" s="11" t="s">
        <v>47</v>
      </c>
      <c r="C5" s="12" t="s">
        <v>94</v>
      </c>
      <c r="D5" s="13">
        <v>0.4</v>
      </c>
      <c r="E5" s="55"/>
      <c r="F5" s="55"/>
      <c r="G5" s="55"/>
      <c r="H5" s="55"/>
      <c r="I5" s="55"/>
      <c r="J5" s="55"/>
      <c r="K5" s="55"/>
      <c r="L5" s="55"/>
      <c r="M5" s="55"/>
      <c r="N5" s="55"/>
      <c r="O5" s="55"/>
      <c r="P5" s="55"/>
      <c r="Q5" s="55"/>
      <c r="R5" s="55"/>
      <c r="S5" s="55"/>
      <c r="T5" s="55"/>
      <c r="U5" s="55"/>
      <c r="V5" s="55"/>
      <c r="W5" s="55"/>
      <c r="X5" s="55"/>
      <c r="Y5" s="55"/>
      <c r="Z5" s="55"/>
      <c r="AA5" s="55"/>
      <c r="AB5" s="55"/>
      <c r="AC5" s="55"/>
      <c r="AD5" s="55"/>
      <c r="AE5" s="55"/>
    </row>
    <row r="6" spans="1:37" ht="51" x14ac:dyDescent="0.25">
      <c r="A6" s="55"/>
      <c r="B6" s="14" t="s">
        <v>98</v>
      </c>
      <c r="C6" s="12" t="s">
        <v>95</v>
      </c>
      <c r="D6" s="13">
        <v>0.6</v>
      </c>
      <c r="E6" s="55"/>
      <c r="F6" s="55"/>
      <c r="G6" s="55"/>
      <c r="H6" s="55"/>
      <c r="I6" s="55"/>
      <c r="J6" s="55"/>
      <c r="K6" s="55"/>
      <c r="L6" s="55"/>
      <c r="M6" s="55"/>
      <c r="N6" s="55"/>
      <c r="O6" s="55"/>
      <c r="P6" s="55"/>
      <c r="Q6" s="55"/>
      <c r="R6" s="55"/>
      <c r="S6" s="55"/>
      <c r="T6" s="55"/>
      <c r="U6" s="55"/>
      <c r="V6" s="55"/>
      <c r="W6" s="55"/>
      <c r="X6" s="55"/>
      <c r="Y6" s="55"/>
      <c r="Z6" s="55"/>
      <c r="AA6" s="55"/>
      <c r="AB6" s="55"/>
      <c r="AC6" s="55"/>
      <c r="AD6" s="55"/>
      <c r="AE6" s="55"/>
    </row>
    <row r="7" spans="1:37" ht="76.5" x14ac:dyDescent="0.25">
      <c r="A7" s="55"/>
      <c r="B7" s="15" t="s">
        <v>6</v>
      </c>
      <c r="C7" s="12" t="s">
        <v>96</v>
      </c>
      <c r="D7" s="13">
        <v>0.8</v>
      </c>
      <c r="E7" s="55"/>
      <c r="F7" s="55"/>
      <c r="G7" s="55"/>
      <c r="H7" s="55"/>
      <c r="I7" s="55"/>
      <c r="J7" s="55"/>
      <c r="K7" s="55"/>
      <c r="L7" s="55"/>
      <c r="M7" s="55"/>
      <c r="N7" s="55"/>
      <c r="O7" s="55"/>
      <c r="P7" s="55"/>
      <c r="Q7" s="55"/>
      <c r="R7" s="55"/>
      <c r="S7" s="55"/>
      <c r="T7" s="55"/>
      <c r="U7" s="55"/>
      <c r="V7" s="55"/>
      <c r="W7" s="55"/>
      <c r="X7" s="55"/>
      <c r="Y7" s="55"/>
      <c r="Z7" s="55"/>
      <c r="AA7" s="55"/>
      <c r="AB7" s="55"/>
      <c r="AC7" s="55"/>
      <c r="AD7" s="55"/>
      <c r="AE7" s="55"/>
    </row>
    <row r="8" spans="1:37" ht="51" x14ac:dyDescent="0.25">
      <c r="A8" s="55"/>
      <c r="B8" s="16" t="s">
        <v>48</v>
      </c>
      <c r="C8" s="12" t="s">
        <v>97</v>
      </c>
      <c r="D8" s="13">
        <v>1</v>
      </c>
      <c r="E8" s="55"/>
      <c r="F8" s="55"/>
      <c r="G8" s="55"/>
      <c r="H8" s="55"/>
      <c r="I8" s="55"/>
      <c r="J8" s="55"/>
      <c r="K8" s="55"/>
      <c r="L8" s="55"/>
      <c r="M8" s="55"/>
      <c r="N8" s="55"/>
      <c r="O8" s="55"/>
      <c r="P8" s="55"/>
      <c r="Q8" s="55"/>
      <c r="R8" s="55"/>
      <c r="S8" s="55"/>
      <c r="T8" s="55"/>
      <c r="U8" s="55"/>
      <c r="V8" s="55"/>
      <c r="W8" s="55"/>
      <c r="X8" s="55"/>
      <c r="Y8" s="55"/>
      <c r="Z8" s="55"/>
      <c r="AA8" s="55"/>
      <c r="AB8" s="55"/>
      <c r="AC8" s="55"/>
      <c r="AD8" s="55"/>
      <c r="AE8" s="55"/>
    </row>
    <row r="9" spans="1:37" x14ac:dyDescent="0.25">
      <c r="A9" s="55"/>
      <c r="B9" s="79"/>
      <c r="C9" s="79"/>
      <c r="D9" s="79"/>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row>
    <row r="10" spans="1:37" ht="16.5" x14ac:dyDescent="0.25">
      <c r="A10" s="55"/>
      <c r="B10" s="80"/>
      <c r="C10" s="79"/>
      <c r="D10" s="79"/>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row>
    <row r="11" spans="1:37" x14ac:dyDescent="0.25">
      <c r="A11" s="55"/>
      <c r="B11" s="79"/>
      <c r="C11" s="79"/>
      <c r="D11" s="79"/>
      <c r="E11" s="55"/>
      <c r="F11" s="55"/>
      <c r="G11" s="55"/>
      <c r="H11" s="55"/>
      <c r="I11" s="55"/>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row>
    <row r="12" spans="1:37" x14ac:dyDescent="0.25">
      <c r="A12" s="55"/>
      <c r="B12" s="79"/>
      <c r="C12" s="79"/>
      <c r="D12" s="79"/>
      <c r="E12" s="55"/>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row>
    <row r="13" spans="1:37" x14ac:dyDescent="0.25">
      <c r="A13" s="55"/>
      <c r="B13" s="79"/>
      <c r="C13" s="79"/>
      <c r="D13" s="79"/>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row>
    <row r="14" spans="1:37" x14ac:dyDescent="0.25">
      <c r="A14" s="55"/>
      <c r="B14" s="79"/>
      <c r="C14" s="79"/>
      <c r="D14" s="79"/>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row>
    <row r="15" spans="1:37" x14ac:dyDescent="0.25">
      <c r="A15" s="55"/>
      <c r="B15" s="79"/>
      <c r="C15" s="79"/>
      <c r="D15" s="79"/>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row>
    <row r="16" spans="1:37" x14ac:dyDescent="0.25">
      <c r="A16" s="55"/>
      <c r="B16" s="79"/>
      <c r="C16" s="79"/>
      <c r="D16" s="79"/>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row>
    <row r="17" spans="1:37" x14ac:dyDescent="0.25">
      <c r="A17" s="55"/>
      <c r="B17" s="79"/>
      <c r="C17" s="79"/>
      <c r="D17" s="79"/>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row>
    <row r="18" spans="1:37" x14ac:dyDescent="0.25">
      <c r="A18" s="55"/>
      <c r="B18" s="79"/>
      <c r="C18" s="79"/>
      <c r="D18" s="79"/>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row>
    <row r="19" spans="1:37" x14ac:dyDescent="0.25">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row>
    <row r="20" spans="1:37" x14ac:dyDescent="0.25">
      <c r="A20" s="5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row>
    <row r="21" spans="1:37" x14ac:dyDescent="0.25">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row>
    <row r="22" spans="1:37" x14ac:dyDescent="0.25">
      <c r="A22" s="5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row>
    <row r="23" spans="1:37" x14ac:dyDescent="0.2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row>
    <row r="24" spans="1:37" x14ac:dyDescent="0.2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row>
    <row r="25" spans="1:37" x14ac:dyDescent="0.25">
      <c r="A25" s="5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row>
    <row r="26" spans="1:37" x14ac:dyDescent="0.25">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row>
    <row r="27" spans="1:37" x14ac:dyDescent="0.25">
      <c r="A27" s="5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row>
    <row r="28" spans="1:37" x14ac:dyDescent="0.25">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row>
    <row r="29" spans="1:37" x14ac:dyDescent="0.25">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row>
    <row r="30" spans="1:37" x14ac:dyDescent="0.25">
      <c r="A30" s="5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row>
    <row r="31" spans="1:37" x14ac:dyDescent="0.25">
      <c r="A31" s="5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row>
    <row r="32" spans="1:37" x14ac:dyDescent="0.25">
      <c r="A32" s="5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row>
    <row r="33" spans="1:31" x14ac:dyDescent="0.25">
      <c r="A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row>
    <row r="34" spans="1:31" x14ac:dyDescent="0.25">
      <c r="A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row>
    <row r="35" spans="1:31" x14ac:dyDescent="0.25">
      <c r="A35" s="55"/>
    </row>
    <row r="36" spans="1:31" x14ac:dyDescent="0.25">
      <c r="A36" s="55"/>
    </row>
    <row r="37" spans="1:31" x14ac:dyDescent="0.25">
      <c r="A37" s="55"/>
    </row>
    <row r="38" spans="1:31" x14ac:dyDescent="0.25">
      <c r="A38" s="55"/>
    </row>
    <row r="39" spans="1:31" x14ac:dyDescent="0.25">
      <c r="A39" s="55"/>
    </row>
    <row r="40" spans="1:31" x14ac:dyDescent="0.25">
      <c r="A40" s="55"/>
    </row>
    <row r="41" spans="1:31" x14ac:dyDescent="0.25">
      <c r="A41" s="55"/>
    </row>
    <row r="42" spans="1:31" x14ac:dyDescent="0.25">
      <c r="A42" s="55"/>
    </row>
    <row r="43" spans="1:31" x14ac:dyDescent="0.25">
      <c r="A43" s="55"/>
    </row>
    <row r="44" spans="1:31" x14ac:dyDescent="0.25">
      <c r="A44" s="55"/>
    </row>
    <row r="45" spans="1:31" x14ac:dyDescent="0.25">
      <c r="A45" s="55"/>
    </row>
    <row r="46" spans="1:31" x14ac:dyDescent="0.25">
      <c r="A46" s="55"/>
    </row>
    <row r="47" spans="1:31" x14ac:dyDescent="0.25">
      <c r="A47" s="55"/>
    </row>
    <row r="48" spans="1:31" x14ac:dyDescent="0.25">
      <c r="A48" s="55"/>
    </row>
    <row r="49" spans="1:1" x14ac:dyDescent="0.25">
      <c r="A49" s="55"/>
    </row>
    <row r="50" spans="1:1" x14ac:dyDescent="0.25">
      <c r="A50" s="55"/>
    </row>
    <row r="51" spans="1:1" x14ac:dyDescent="0.25">
      <c r="A51" s="55"/>
    </row>
    <row r="52" spans="1:1" x14ac:dyDescent="0.25">
      <c r="A52" s="55"/>
    </row>
    <row r="53" spans="1:1" x14ac:dyDescent="0.25">
      <c r="A53" s="55"/>
    </row>
    <row r="54" spans="1:1" x14ac:dyDescent="0.25">
      <c r="A54" s="55"/>
    </row>
    <row r="55" spans="1:1" x14ac:dyDescent="0.25">
      <c r="A55" s="55"/>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204" zoomScale="70" zoomScaleNormal="70" workbookViewId="0">
      <selection activeCell="C218" sqref="C218"/>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55"/>
      <c r="B1" s="550" t="s">
        <v>57</v>
      </c>
      <c r="C1" s="550"/>
      <c r="D1" s="550"/>
      <c r="E1" s="55"/>
      <c r="F1" s="55"/>
      <c r="G1" s="55"/>
      <c r="H1" s="55"/>
      <c r="I1" s="55"/>
      <c r="J1" s="55"/>
      <c r="K1" s="55"/>
      <c r="L1" s="55"/>
      <c r="M1" s="55"/>
      <c r="N1" s="55"/>
      <c r="O1" s="55"/>
      <c r="P1" s="55"/>
      <c r="Q1" s="55"/>
      <c r="R1" s="55"/>
      <c r="S1" s="55"/>
      <c r="T1" s="55"/>
      <c r="U1" s="55"/>
    </row>
    <row r="2" spans="1:21" x14ac:dyDescent="0.25">
      <c r="A2" s="55"/>
      <c r="B2" s="55"/>
      <c r="C2" s="55"/>
      <c r="D2" s="55"/>
      <c r="E2" s="55"/>
      <c r="F2" s="55"/>
      <c r="G2" s="55"/>
      <c r="H2" s="55"/>
      <c r="I2" s="55"/>
      <c r="J2" s="55"/>
      <c r="K2" s="55"/>
      <c r="L2" s="55"/>
      <c r="M2" s="55"/>
      <c r="N2" s="55"/>
      <c r="O2" s="55"/>
      <c r="P2" s="55"/>
      <c r="Q2" s="55"/>
      <c r="R2" s="55"/>
      <c r="S2" s="55"/>
      <c r="T2" s="55"/>
      <c r="U2" s="55"/>
    </row>
    <row r="3" spans="1:21" ht="30" x14ac:dyDescent="0.25">
      <c r="A3" s="55"/>
      <c r="B3" s="76"/>
      <c r="C3" s="29" t="s">
        <v>50</v>
      </c>
      <c r="D3" s="29" t="s">
        <v>51</v>
      </c>
      <c r="E3" s="55"/>
      <c r="F3" s="55"/>
      <c r="G3" s="55"/>
      <c r="H3" s="55"/>
      <c r="I3" s="55"/>
      <c r="J3" s="55"/>
      <c r="K3" s="55"/>
      <c r="L3" s="55"/>
      <c r="M3" s="55"/>
      <c r="N3" s="55"/>
      <c r="O3" s="55"/>
      <c r="P3" s="55"/>
      <c r="Q3" s="55"/>
      <c r="R3" s="55"/>
      <c r="S3" s="55"/>
      <c r="T3" s="55"/>
      <c r="U3" s="55"/>
    </row>
    <row r="4" spans="1:21" ht="33.75" x14ac:dyDescent="0.25">
      <c r="A4" s="75" t="s">
        <v>77</v>
      </c>
      <c r="B4" s="32" t="s">
        <v>92</v>
      </c>
      <c r="C4" s="37" t="s">
        <v>132</v>
      </c>
      <c r="D4" s="30" t="s">
        <v>90</v>
      </c>
      <c r="E4" s="55"/>
      <c r="F4" s="55"/>
      <c r="G4" s="55"/>
      <c r="H4" s="55"/>
      <c r="I4" s="55"/>
      <c r="J4" s="55"/>
      <c r="K4" s="55"/>
      <c r="L4" s="55"/>
      <c r="M4" s="55"/>
      <c r="N4" s="55"/>
      <c r="O4" s="55"/>
      <c r="P4" s="55"/>
      <c r="Q4" s="55"/>
      <c r="R4" s="55"/>
      <c r="S4" s="55"/>
      <c r="T4" s="55"/>
      <c r="U4" s="55"/>
    </row>
    <row r="5" spans="1:21" ht="101.25" x14ac:dyDescent="0.25">
      <c r="A5" s="75" t="s">
        <v>78</v>
      </c>
      <c r="B5" s="33" t="s">
        <v>53</v>
      </c>
      <c r="C5" s="38" t="s">
        <v>86</v>
      </c>
      <c r="D5" s="31" t="s">
        <v>490</v>
      </c>
      <c r="E5" s="55"/>
      <c r="F5" s="55"/>
      <c r="G5" s="55"/>
      <c r="H5" s="55"/>
      <c r="I5" s="55"/>
      <c r="J5" s="55"/>
      <c r="K5" s="55"/>
      <c r="L5" s="55"/>
      <c r="M5" s="55"/>
      <c r="N5" s="55"/>
      <c r="O5" s="55"/>
      <c r="P5" s="55"/>
      <c r="Q5" s="55"/>
      <c r="R5" s="55"/>
      <c r="S5" s="55"/>
      <c r="T5" s="55"/>
      <c r="U5" s="55"/>
    </row>
    <row r="6" spans="1:21" ht="67.5" x14ac:dyDescent="0.25">
      <c r="A6" s="75" t="s">
        <v>75</v>
      </c>
      <c r="B6" s="34" t="s">
        <v>54</v>
      </c>
      <c r="C6" s="38" t="s">
        <v>87</v>
      </c>
      <c r="D6" s="31" t="s">
        <v>91</v>
      </c>
      <c r="E6" s="55"/>
      <c r="F6" s="55"/>
      <c r="G6" s="55"/>
      <c r="H6" s="55"/>
      <c r="I6" s="55"/>
      <c r="J6" s="55"/>
      <c r="K6" s="55"/>
      <c r="L6" s="55"/>
      <c r="M6" s="55"/>
      <c r="N6" s="55"/>
      <c r="O6" s="55"/>
      <c r="P6" s="55"/>
      <c r="Q6" s="55"/>
      <c r="R6" s="55"/>
      <c r="S6" s="55"/>
      <c r="T6" s="55"/>
      <c r="U6" s="55"/>
    </row>
    <row r="7" spans="1:21" ht="101.25" x14ac:dyDescent="0.25">
      <c r="A7" s="75" t="s">
        <v>7</v>
      </c>
      <c r="B7" s="35" t="s">
        <v>55</v>
      </c>
      <c r="C7" s="38" t="s">
        <v>88</v>
      </c>
      <c r="D7" s="31" t="s">
        <v>492</v>
      </c>
      <c r="E7" s="55"/>
      <c r="F7" s="55"/>
      <c r="G7" s="55"/>
      <c r="H7" s="55"/>
      <c r="I7" s="55"/>
      <c r="J7" s="55"/>
      <c r="K7" s="55"/>
      <c r="L7" s="55"/>
      <c r="M7" s="55"/>
      <c r="N7" s="55"/>
      <c r="O7" s="55"/>
      <c r="P7" s="55"/>
      <c r="Q7" s="55"/>
      <c r="R7" s="55"/>
      <c r="S7" s="55"/>
      <c r="T7" s="55"/>
      <c r="U7" s="55"/>
    </row>
    <row r="8" spans="1:21" ht="67.5" x14ac:dyDescent="0.25">
      <c r="A8" s="75" t="s">
        <v>79</v>
      </c>
      <c r="B8" s="36" t="s">
        <v>56</v>
      </c>
      <c r="C8" s="38" t="s">
        <v>89</v>
      </c>
      <c r="D8" s="31" t="s">
        <v>109</v>
      </c>
      <c r="E8" s="55"/>
      <c r="F8" s="55"/>
      <c r="G8" s="55"/>
      <c r="H8" s="55"/>
      <c r="I8" s="55"/>
      <c r="J8" s="55"/>
      <c r="K8" s="55"/>
      <c r="L8" s="55"/>
      <c r="M8" s="55"/>
      <c r="N8" s="55"/>
      <c r="O8" s="55"/>
      <c r="P8" s="55"/>
      <c r="Q8" s="55"/>
      <c r="R8" s="55"/>
      <c r="S8" s="55"/>
      <c r="T8" s="55"/>
      <c r="U8" s="55"/>
    </row>
    <row r="9" spans="1:21" ht="20.25" x14ac:dyDescent="0.25">
      <c r="A9" s="75"/>
      <c r="B9" s="75"/>
      <c r="C9" s="77"/>
      <c r="D9" s="77"/>
      <c r="E9" s="55"/>
      <c r="F9" s="55"/>
      <c r="G9" s="55"/>
      <c r="H9" s="55"/>
      <c r="I9" s="55"/>
      <c r="J9" s="55"/>
      <c r="K9" s="55"/>
      <c r="L9" s="55"/>
      <c r="M9" s="55"/>
      <c r="N9" s="55"/>
      <c r="O9" s="55"/>
      <c r="P9" s="55"/>
      <c r="Q9" s="55"/>
      <c r="R9" s="55"/>
      <c r="S9" s="55"/>
      <c r="T9" s="55"/>
      <c r="U9" s="55"/>
    </row>
    <row r="10" spans="1:21" ht="16.5" x14ac:dyDescent="0.25">
      <c r="A10" s="75"/>
      <c r="B10" s="78"/>
      <c r="C10" s="78"/>
      <c r="D10" s="78"/>
      <c r="E10" s="55"/>
      <c r="F10" s="55"/>
      <c r="G10" s="55"/>
      <c r="H10" s="55"/>
      <c r="I10" s="55"/>
      <c r="J10" s="55"/>
      <c r="K10" s="55"/>
      <c r="L10" s="55"/>
      <c r="M10" s="55"/>
      <c r="N10" s="55"/>
      <c r="O10" s="55"/>
      <c r="P10" s="55"/>
      <c r="Q10" s="55"/>
      <c r="R10" s="55"/>
      <c r="S10" s="55"/>
      <c r="T10" s="55"/>
      <c r="U10" s="55"/>
    </row>
    <row r="11" spans="1:21" x14ac:dyDescent="0.25">
      <c r="A11" s="75"/>
      <c r="B11" s="75" t="s">
        <v>84</v>
      </c>
      <c r="C11" s="75" t="s">
        <v>482</v>
      </c>
      <c r="D11" s="75" t="s">
        <v>483</v>
      </c>
      <c r="E11" s="55"/>
      <c r="F11" s="55"/>
      <c r="G11" s="55"/>
      <c r="H11" s="55"/>
      <c r="I11" s="55"/>
      <c r="J11" s="55"/>
      <c r="K11" s="55"/>
      <c r="L11" s="55"/>
      <c r="M11" s="55"/>
      <c r="N11" s="55"/>
      <c r="O11" s="55"/>
      <c r="P11" s="55"/>
      <c r="Q11" s="55"/>
      <c r="R11" s="55"/>
      <c r="S11" s="55"/>
      <c r="T11" s="55"/>
      <c r="U11" s="55"/>
    </row>
    <row r="12" spans="1:21" x14ac:dyDescent="0.25">
      <c r="A12" s="75"/>
      <c r="B12" s="75" t="s">
        <v>82</v>
      </c>
      <c r="C12" s="75" t="s">
        <v>484</v>
      </c>
      <c r="D12" s="75" t="s">
        <v>491</v>
      </c>
      <c r="E12" s="55"/>
      <c r="F12" s="55"/>
      <c r="G12" s="55"/>
      <c r="H12" s="55"/>
      <c r="I12" s="55"/>
      <c r="J12" s="55"/>
      <c r="K12" s="55"/>
      <c r="L12" s="55"/>
      <c r="M12" s="55"/>
      <c r="N12" s="55"/>
      <c r="O12" s="55"/>
      <c r="P12" s="55"/>
      <c r="Q12" s="55"/>
      <c r="R12" s="55"/>
      <c r="S12" s="55"/>
      <c r="T12" s="55"/>
      <c r="U12" s="55"/>
    </row>
    <row r="13" spans="1:21" x14ac:dyDescent="0.25">
      <c r="A13" s="75"/>
      <c r="B13" s="75"/>
      <c r="C13" s="75" t="s">
        <v>485</v>
      </c>
      <c r="D13" s="75" t="s">
        <v>486</v>
      </c>
      <c r="E13" s="55"/>
      <c r="F13" s="55"/>
      <c r="G13" s="55"/>
      <c r="H13" s="55"/>
      <c r="I13" s="55"/>
      <c r="J13" s="55"/>
      <c r="K13" s="55"/>
      <c r="L13" s="55"/>
      <c r="M13" s="55"/>
      <c r="N13" s="55"/>
      <c r="O13" s="55"/>
      <c r="P13" s="55"/>
      <c r="Q13" s="55"/>
      <c r="R13" s="55"/>
      <c r="S13" s="55"/>
      <c r="T13" s="55"/>
      <c r="U13" s="55"/>
    </row>
    <row r="14" spans="1:21" x14ac:dyDescent="0.25">
      <c r="A14" s="75"/>
      <c r="B14" s="75"/>
      <c r="C14" s="75" t="s">
        <v>487</v>
      </c>
      <c r="D14" s="75" t="s">
        <v>493</v>
      </c>
      <c r="E14" s="55"/>
      <c r="F14" s="55"/>
      <c r="G14" s="55"/>
      <c r="H14" s="55"/>
      <c r="I14" s="55"/>
      <c r="J14" s="55"/>
      <c r="K14" s="55"/>
      <c r="L14" s="55"/>
      <c r="M14" s="55"/>
      <c r="N14" s="55"/>
      <c r="O14" s="55"/>
      <c r="P14" s="55"/>
      <c r="Q14" s="55"/>
      <c r="R14" s="55"/>
      <c r="S14" s="55"/>
      <c r="T14" s="55"/>
      <c r="U14" s="55"/>
    </row>
    <row r="15" spans="1:21" x14ac:dyDescent="0.25">
      <c r="A15" s="75"/>
      <c r="B15" s="75"/>
      <c r="C15" s="75" t="s">
        <v>488</v>
      </c>
      <c r="D15" s="75" t="s">
        <v>489</v>
      </c>
      <c r="E15" s="55"/>
      <c r="F15" s="55"/>
      <c r="G15" s="55"/>
      <c r="H15" s="55"/>
      <c r="I15" s="55"/>
      <c r="J15" s="55"/>
      <c r="K15" s="55"/>
      <c r="L15" s="55"/>
      <c r="M15" s="55"/>
      <c r="N15" s="55"/>
      <c r="O15" s="55"/>
      <c r="P15" s="55"/>
      <c r="Q15" s="55"/>
      <c r="R15" s="55"/>
      <c r="S15" s="55"/>
      <c r="T15" s="55"/>
      <c r="U15" s="55"/>
    </row>
    <row r="16" spans="1:21" x14ac:dyDescent="0.25">
      <c r="A16" s="75"/>
      <c r="B16" s="75"/>
      <c r="C16" s="75"/>
      <c r="D16" s="75"/>
      <c r="E16" s="55"/>
      <c r="F16" s="55"/>
      <c r="G16" s="55"/>
      <c r="H16" s="55"/>
      <c r="I16" s="55"/>
      <c r="J16" s="55"/>
      <c r="K16" s="55"/>
      <c r="L16" s="55"/>
      <c r="M16" s="55"/>
      <c r="N16" s="55"/>
      <c r="O16" s="55"/>
    </row>
    <row r="17" spans="1:15" x14ac:dyDescent="0.25">
      <c r="A17" s="75"/>
      <c r="B17" s="75"/>
      <c r="C17" s="75"/>
      <c r="D17" s="75"/>
      <c r="E17" s="55"/>
      <c r="F17" s="55"/>
      <c r="G17" s="55"/>
      <c r="H17" s="55"/>
      <c r="I17" s="55"/>
      <c r="J17" s="55"/>
      <c r="K17" s="55"/>
      <c r="L17" s="55"/>
      <c r="M17" s="55"/>
      <c r="N17" s="55"/>
      <c r="O17" s="55"/>
    </row>
    <row r="18" spans="1:15" x14ac:dyDescent="0.25">
      <c r="A18" s="75"/>
      <c r="B18" s="79"/>
      <c r="C18" s="79"/>
      <c r="D18" s="79"/>
      <c r="E18" s="55"/>
      <c r="F18" s="55"/>
      <c r="G18" s="55"/>
      <c r="H18" s="55"/>
      <c r="I18" s="55"/>
      <c r="J18" s="55"/>
      <c r="K18" s="55"/>
      <c r="L18" s="55"/>
      <c r="M18" s="55"/>
      <c r="N18" s="55"/>
      <c r="O18" s="55"/>
    </row>
    <row r="19" spans="1:15" x14ac:dyDescent="0.25">
      <c r="A19" s="75"/>
      <c r="B19" s="79"/>
      <c r="C19" s="79"/>
      <c r="D19" s="79"/>
      <c r="E19" s="55"/>
      <c r="F19" s="55"/>
      <c r="G19" s="55"/>
      <c r="H19" s="55"/>
      <c r="I19" s="55"/>
      <c r="J19" s="55"/>
      <c r="K19" s="55"/>
      <c r="L19" s="55"/>
      <c r="M19" s="55"/>
      <c r="N19" s="55"/>
      <c r="O19" s="55"/>
    </row>
    <row r="20" spans="1:15" x14ac:dyDescent="0.25">
      <c r="A20" s="75"/>
      <c r="B20" s="79"/>
      <c r="C20" s="79"/>
      <c r="D20" s="79"/>
      <c r="E20" s="55"/>
      <c r="F20" s="55"/>
      <c r="G20" s="55"/>
      <c r="H20" s="55"/>
      <c r="I20" s="55"/>
      <c r="J20" s="55"/>
      <c r="K20" s="55"/>
      <c r="L20" s="55"/>
      <c r="M20" s="55"/>
      <c r="N20" s="55"/>
      <c r="O20" s="55"/>
    </row>
    <row r="21" spans="1:15" x14ac:dyDescent="0.25">
      <c r="A21" s="75"/>
      <c r="B21" s="79"/>
      <c r="C21" s="79"/>
      <c r="D21" s="79"/>
      <c r="E21" s="55"/>
      <c r="F21" s="55"/>
      <c r="G21" s="55"/>
      <c r="H21" s="55"/>
      <c r="I21" s="55"/>
      <c r="J21" s="55"/>
      <c r="K21" s="55"/>
      <c r="L21" s="55"/>
      <c r="M21" s="55"/>
      <c r="N21" s="55"/>
      <c r="O21" s="55"/>
    </row>
    <row r="22" spans="1:15" ht="20.25" x14ac:dyDescent="0.25">
      <c r="A22" s="75"/>
      <c r="B22" s="75"/>
      <c r="C22" s="77"/>
      <c r="D22" s="77"/>
      <c r="E22" s="55"/>
      <c r="F22" s="55"/>
      <c r="G22" s="55"/>
      <c r="H22" s="55"/>
      <c r="I22" s="55"/>
      <c r="J22" s="55"/>
      <c r="K22" s="55"/>
      <c r="L22" s="55"/>
      <c r="M22" s="55"/>
      <c r="N22" s="55"/>
      <c r="O22" s="55"/>
    </row>
    <row r="23" spans="1:15" ht="20.25" x14ac:dyDescent="0.25">
      <c r="A23" s="75"/>
      <c r="B23" s="75"/>
      <c r="C23" s="77"/>
      <c r="D23" s="77"/>
      <c r="E23" s="55"/>
      <c r="F23" s="55"/>
      <c r="G23" s="55"/>
      <c r="H23" s="55"/>
      <c r="I23" s="55"/>
      <c r="J23" s="55"/>
      <c r="K23" s="55"/>
      <c r="L23" s="55"/>
      <c r="M23" s="55"/>
      <c r="N23" s="55"/>
      <c r="O23" s="55"/>
    </row>
    <row r="24" spans="1:15" ht="20.25" x14ac:dyDescent="0.25">
      <c r="A24" s="75"/>
      <c r="B24" s="75"/>
      <c r="C24" s="77"/>
      <c r="D24" s="77"/>
      <c r="E24" s="55"/>
      <c r="F24" s="55"/>
      <c r="G24" s="55"/>
      <c r="H24" s="55"/>
      <c r="I24" s="55"/>
      <c r="J24" s="55"/>
      <c r="K24" s="55"/>
      <c r="L24" s="55"/>
      <c r="M24" s="55"/>
      <c r="N24" s="55"/>
      <c r="O24" s="55"/>
    </row>
    <row r="25" spans="1:15" ht="20.25" x14ac:dyDescent="0.25">
      <c r="A25" s="75"/>
      <c r="B25" s="75"/>
      <c r="C25" s="77"/>
      <c r="D25" s="77"/>
      <c r="E25" s="55"/>
      <c r="F25" s="55"/>
      <c r="G25" s="55"/>
      <c r="H25" s="55"/>
      <c r="I25" s="55"/>
      <c r="J25" s="55"/>
      <c r="K25" s="55"/>
      <c r="L25" s="55"/>
      <c r="M25" s="55"/>
      <c r="N25" s="55"/>
      <c r="O25" s="55"/>
    </row>
    <row r="26" spans="1:15" ht="20.25" x14ac:dyDescent="0.25">
      <c r="A26" s="75"/>
      <c r="B26" s="75"/>
      <c r="C26" s="77"/>
      <c r="D26" s="77"/>
      <c r="E26" s="55"/>
      <c r="F26" s="55"/>
      <c r="G26" s="55"/>
      <c r="H26" s="55"/>
      <c r="I26" s="55"/>
      <c r="J26" s="55"/>
      <c r="K26" s="55"/>
      <c r="L26" s="55"/>
      <c r="M26" s="55"/>
      <c r="N26" s="55"/>
      <c r="O26" s="55"/>
    </row>
    <row r="27" spans="1:15" ht="20.25" x14ac:dyDescent="0.25">
      <c r="A27" s="75"/>
      <c r="B27" s="75"/>
      <c r="C27" s="77"/>
      <c r="D27" s="77"/>
      <c r="E27" s="55"/>
      <c r="F27" s="55"/>
      <c r="G27" s="55"/>
      <c r="H27" s="55"/>
      <c r="I27" s="55"/>
      <c r="J27" s="55"/>
      <c r="K27" s="55"/>
      <c r="L27" s="55"/>
      <c r="M27" s="55"/>
      <c r="N27" s="55"/>
      <c r="O27" s="55"/>
    </row>
    <row r="28" spans="1:15" ht="20.25" x14ac:dyDescent="0.25">
      <c r="A28" s="75"/>
      <c r="B28" s="75"/>
      <c r="C28" s="77"/>
      <c r="D28" s="77"/>
      <c r="E28" s="55"/>
      <c r="F28" s="55"/>
      <c r="G28" s="55"/>
      <c r="H28" s="55"/>
      <c r="I28" s="55"/>
      <c r="J28" s="55"/>
      <c r="K28" s="55"/>
      <c r="L28" s="55"/>
      <c r="M28" s="55"/>
      <c r="N28" s="55"/>
      <c r="O28" s="55"/>
    </row>
    <row r="29" spans="1:15" ht="20.25" x14ac:dyDescent="0.25">
      <c r="A29" s="75"/>
      <c r="B29" s="75"/>
      <c r="C29" s="77"/>
      <c r="D29" s="77"/>
      <c r="E29" s="55"/>
      <c r="F29" s="55"/>
      <c r="G29" s="55"/>
      <c r="H29" s="55"/>
      <c r="I29" s="55"/>
      <c r="J29" s="55"/>
      <c r="K29" s="55"/>
      <c r="L29" s="55"/>
      <c r="M29" s="55"/>
      <c r="N29" s="55"/>
      <c r="O29" s="55"/>
    </row>
    <row r="30" spans="1:15" ht="20.25" x14ac:dyDescent="0.25">
      <c r="A30" s="75"/>
      <c r="B30" s="75"/>
      <c r="C30" s="77"/>
      <c r="D30" s="77"/>
      <c r="E30" s="55"/>
      <c r="F30" s="55"/>
      <c r="G30" s="55"/>
      <c r="H30" s="55"/>
      <c r="I30" s="55"/>
      <c r="J30" s="55"/>
      <c r="K30" s="55"/>
      <c r="L30" s="55"/>
      <c r="M30" s="55"/>
      <c r="N30" s="55"/>
      <c r="O30" s="55"/>
    </row>
    <row r="31" spans="1:15" ht="20.25" x14ac:dyDescent="0.25">
      <c r="A31" s="75"/>
      <c r="B31" s="75"/>
      <c r="C31" s="77"/>
      <c r="D31" s="77"/>
      <c r="E31" s="55"/>
      <c r="F31" s="55"/>
      <c r="G31" s="55"/>
      <c r="H31" s="55"/>
      <c r="I31" s="55"/>
      <c r="J31" s="55"/>
      <c r="K31" s="55"/>
      <c r="L31" s="55"/>
      <c r="M31" s="55"/>
      <c r="N31" s="55"/>
      <c r="O31" s="55"/>
    </row>
    <row r="32" spans="1:15" ht="20.25" x14ac:dyDescent="0.25">
      <c r="A32" s="75"/>
      <c r="B32" s="75"/>
      <c r="C32" s="77"/>
      <c r="D32" s="77"/>
      <c r="E32" s="55"/>
      <c r="F32" s="55"/>
      <c r="G32" s="55"/>
      <c r="H32" s="55"/>
      <c r="I32" s="55"/>
      <c r="J32" s="55"/>
      <c r="K32" s="55"/>
      <c r="L32" s="55"/>
      <c r="M32" s="55"/>
      <c r="N32" s="55"/>
      <c r="O32" s="55"/>
    </row>
    <row r="33" spans="1:15" ht="20.25" x14ac:dyDescent="0.25">
      <c r="A33" s="75"/>
      <c r="B33" s="75"/>
      <c r="C33" s="77"/>
      <c r="D33" s="77"/>
      <c r="E33" s="55"/>
      <c r="F33" s="55"/>
      <c r="G33" s="55"/>
      <c r="H33" s="55"/>
      <c r="I33" s="55"/>
      <c r="J33" s="55"/>
      <c r="K33" s="55"/>
      <c r="L33" s="55"/>
      <c r="M33" s="55"/>
      <c r="N33" s="55"/>
      <c r="O33" s="55"/>
    </row>
    <row r="34" spans="1:15" ht="20.25" x14ac:dyDescent="0.25">
      <c r="A34" s="75"/>
      <c r="B34" s="75"/>
      <c r="C34" s="77"/>
      <c r="D34" s="77"/>
      <c r="E34" s="55"/>
      <c r="F34" s="55"/>
      <c r="G34" s="55"/>
      <c r="H34" s="55"/>
      <c r="I34" s="55"/>
      <c r="J34" s="55"/>
      <c r="K34" s="55"/>
      <c r="L34" s="55"/>
      <c r="M34" s="55"/>
      <c r="N34" s="55"/>
      <c r="O34" s="55"/>
    </row>
    <row r="35" spans="1:15" ht="20.25" x14ac:dyDescent="0.25">
      <c r="A35" s="75"/>
      <c r="B35" s="75"/>
      <c r="C35" s="77"/>
      <c r="D35" s="77"/>
      <c r="E35" s="55"/>
      <c r="F35" s="55"/>
      <c r="G35" s="55"/>
      <c r="H35" s="55"/>
      <c r="I35" s="55"/>
      <c r="J35" s="55"/>
      <c r="K35" s="55"/>
      <c r="L35" s="55"/>
      <c r="M35" s="55"/>
      <c r="N35" s="55"/>
      <c r="O35" s="55"/>
    </row>
    <row r="36" spans="1:15" ht="20.25" x14ac:dyDescent="0.25">
      <c r="A36" s="75"/>
      <c r="B36" s="75"/>
      <c r="C36" s="77"/>
      <c r="D36" s="77"/>
      <c r="E36" s="55"/>
      <c r="F36" s="55"/>
      <c r="G36" s="55"/>
      <c r="H36" s="55"/>
      <c r="I36" s="55"/>
      <c r="J36" s="55"/>
      <c r="K36" s="55"/>
      <c r="L36" s="55"/>
      <c r="M36" s="55"/>
      <c r="N36" s="55"/>
      <c r="O36" s="55"/>
    </row>
    <row r="37" spans="1:15" ht="20.25" x14ac:dyDescent="0.25">
      <c r="A37" s="75"/>
      <c r="B37" s="75"/>
      <c r="C37" s="77"/>
      <c r="D37" s="77"/>
      <c r="E37" s="55"/>
      <c r="F37" s="55"/>
      <c r="G37" s="55"/>
      <c r="H37" s="55"/>
      <c r="I37" s="55"/>
      <c r="J37" s="55"/>
      <c r="K37" s="55"/>
      <c r="L37" s="55"/>
      <c r="M37" s="55"/>
      <c r="N37" s="55"/>
      <c r="O37" s="55"/>
    </row>
    <row r="38" spans="1:15" ht="20.25" x14ac:dyDescent="0.25">
      <c r="A38" s="75"/>
      <c r="B38" s="75"/>
      <c r="C38" s="77"/>
      <c r="D38" s="77"/>
      <c r="E38" s="55"/>
      <c r="F38" s="55"/>
      <c r="G38" s="55"/>
      <c r="H38" s="55"/>
      <c r="I38" s="55"/>
      <c r="J38" s="55"/>
      <c r="K38" s="55"/>
      <c r="L38" s="55"/>
      <c r="M38" s="55"/>
      <c r="N38" s="55"/>
      <c r="O38" s="55"/>
    </row>
    <row r="39" spans="1:15" ht="20.25" x14ac:dyDescent="0.25">
      <c r="A39" s="75"/>
      <c r="B39" s="75"/>
      <c r="C39" s="77"/>
      <c r="D39" s="77"/>
      <c r="E39" s="55"/>
      <c r="F39" s="55"/>
      <c r="G39" s="55"/>
      <c r="H39" s="55"/>
      <c r="I39" s="55"/>
      <c r="J39" s="55"/>
      <c r="K39" s="55"/>
      <c r="L39" s="55"/>
      <c r="M39" s="55"/>
      <c r="N39" s="55"/>
      <c r="O39" s="55"/>
    </row>
    <row r="40" spans="1:15" ht="20.25" x14ac:dyDescent="0.25">
      <c r="A40" s="75"/>
      <c r="B40" s="75"/>
      <c r="C40" s="77"/>
      <c r="D40" s="77"/>
      <c r="E40" s="55"/>
      <c r="F40" s="55"/>
      <c r="G40" s="55"/>
      <c r="H40" s="55"/>
      <c r="I40" s="55"/>
      <c r="J40" s="55"/>
      <c r="K40" s="55"/>
      <c r="L40" s="55"/>
      <c r="M40" s="55"/>
      <c r="N40" s="55"/>
      <c r="O40" s="55"/>
    </row>
    <row r="41" spans="1:15" ht="20.25" x14ac:dyDescent="0.25">
      <c r="A41" s="75"/>
      <c r="B41" s="75"/>
      <c r="C41" s="77"/>
      <c r="D41" s="77"/>
      <c r="E41" s="55"/>
      <c r="F41" s="55"/>
      <c r="G41" s="55"/>
      <c r="H41" s="55"/>
      <c r="I41" s="55"/>
      <c r="J41" s="55"/>
      <c r="K41" s="55"/>
      <c r="L41" s="55"/>
      <c r="M41" s="55"/>
      <c r="N41" s="55"/>
      <c r="O41" s="55"/>
    </row>
    <row r="42" spans="1:15" ht="20.25" x14ac:dyDescent="0.25">
      <c r="A42" s="75"/>
      <c r="B42" s="75"/>
      <c r="C42" s="77"/>
      <c r="D42" s="77"/>
      <c r="E42" s="55"/>
      <c r="F42" s="55"/>
      <c r="G42" s="55"/>
      <c r="H42" s="55"/>
      <c r="I42" s="55"/>
      <c r="J42" s="55"/>
      <c r="K42" s="55"/>
      <c r="L42" s="55"/>
      <c r="M42" s="55"/>
      <c r="N42" s="55"/>
      <c r="O42" s="55"/>
    </row>
    <row r="43" spans="1:15" ht="20.25" x14ac:dyDescent="0.25">
      <c r="A43" s="75"/>
      <c r="B43" s="75"/>
      <c r="C43" s="77"/>
      <c r="D43" s="77"/>
      <c r="E43" s="55"/>
      <c r="F43" s="55"/>
      <c r="G43" s="55"/>
      <c r="H43" s="55"/>
      <c r="I43" s="55"/>
      <c r="J43" s="55"/>
      <c r="K43" s="55"/>
      <c r="L43" s="55"/>
      <c r="M43" s="55"/>
      <c r="N43" s="55"/>
      <c r="O43" s="55"/>
    </row>
    <row r="44" spans="1:15" ht="20.25" x14ac:dyDescent="0.25">
      <c r="A44" s="75"/>
      <c r="B44" s="75"/>
      <c r="C44" s="77"/>
      <c r="D44" s="77"/>
      <c r="E44" s="55"/>
      <c r="F44" s="55"/>
      <c r="G44" s="55"/>
      <c r="H44" s="55"/>
      <c r="I44" s="55"/>
      <c r="J44" s="55"/>
      <c r="K44" s="55"/>
      <c r="L44" s="55"/>
      <c r="M44" s="55"/>
      <c r="N44" s="55"/>
      <c r="O44" s="55"/>
    </row>
    <row r="45" spans="1:15" ht="20.25" x14ac:dyDescent="0.25">
      <c r="A45" s="75"/>
      <c r="B45" s="75"/>
      <c r="C45" s="77"/>
      <c r="D45" s="77"/>
      <c r="E45" s="55"/>
      <c r="F45" s="55"/>
      <c r="G45" s="55"/>
      <c r="H45" s="55"/>
      <c r="I45" s="55"/>
      <c r="J45" s="55"/>
      <c r="K45" s="55"/>
      <c r="L45" s="55"/>
      <c r="M45" s="55"/>
      <c r="N45" s="55"/>
      <c r="O45" s="55"/>
    </row>
    <row r="46" spans="1:15" ht="20.25" x14ac:dyDescent="0.25">
      <c r="A46" s="75"/>
      <c r="B46" s="75"/>
      <c r="C46" s="77"/>
      <c r="D46" s="77"/>
      <c r="E46" s="55"/>
      <c r="F46" s="55"/>
      <c r="G46" s="55"/>
      <c r="H46" s="55"/>
      <c r="I46" s="55"/>
      <c r="J46" s="55"/>
      <c r="K46" s="55"/>
      <c r="L46" s="55"/>
      <c r="M46" s="55"/>
      <c r="N46" s="55"/>
      <c r="O46" s="55"/>
    </row>
    <row r="47" spans="1:15" ht="20.25" x14ac:dyDescent="0.25">
      <c r="A47" s="75"/>
      <c r="B47" s="75"/>
      <c r="C47" s="77"/>
      <c r="D47" s="77"/>
      <c r="E47" s="55"/>
      <c r="F47" s="55"/>
      <c r="G47" s="55"/>
      <c r="H47" s="55"/>
      <c r="I47" s="55"/>
      <c r="J47" s="55"/>
      <c r="K47" s="55"/>
      <c r="L47" s="55"/>
      <c r="M47" s="55"/>
      <c r="N47" s="55"/>
      <c r="O47" s="55"/>
    </row>
    <row r="48" spans="1:15" ht="20.25" x14ac:dyDescent="0.25">
      <c r="A48" s="75"/>
      <c r="B48" s="75"/>
      <c r="C48" s="77"/>
      <c r="D48" s="77"/>
      <c r="E48" s="55"/>
      <c r="F48" s="55"/>
      <c r="G48" s="55"/>
      <c r="H48" s="55"/>
      <c r="I48" s="55"/>
      <c r="J48" s="55"/>
      <c r="K48" s="55"/>
      <c r="L48" s="55"/>
      <c r="M48" s="55"/>
      <c r="N48" s="55"/>
      <c r="O48" s="55"/>
    </row>
    <row r="49" spans="1:15" ht="20.25" x14ac:dyDescent="0.25">
      <c r="A49" s="75"/>
      <c r="B49" s="75"/>
      <c r="C49" s="77"/>
      <c r="D49" s="77"/>
      <c r="E49" s="55"/>
      <c r="F49" s="55"/>
      <c r="G49" s="55"/>
      <c r="H49" s="55"/>
      <c r="I49" s="55"/>
      <c r="J49" s="55"/>
      <c r="K49" s="55"/>
      <c r="L49" s="55"/>
      <c r="M49" s="55"/>
      <c r="N49" s="55"/>
      <c r="O49" s="55"/>
    </row>
    <row r="50" spans="1:15" ht="20.25" x14ac:dyDescent="0.25">
      <c r="A50" s="75"/>
      <c r="B50" s="75"/>
      <c r="C50" s="77"/>
      <c r="D50" s="77"/>
      <c r="E50" s="55"/>
      <c r="F50" s="55"/>
      <c r="G50" s="55"/>
      <c r="H50" s="55"/>
      <c r="I50" s="55"/>
      <c r="J50" s="55"/>
      <c r="K50" s="55"/>
      <c r="L50" s="55"/>
      <c r="M50" s="55"/>
      <c r="N50" s="55"/>
      <c r="O50" s="55"/>
    </row>
    <row r="51" spans="1:15" ht="20.25" x14ac:dyDescent="0.25">
      <c r="A51" s="75"/>
      <c r="B51" s="75"/>
      <c r="C51" s="77"/>
      <c r="D51" s="77"/>
      <c r="E51" s="55"/>
      <c r="F51" s="55"/>
      <c r="G51" s="55"/>
      <c r="H51" s="55"/>
      <c r="I51" s="55"/>
      <c r="J51" s="55"/>
      <c r="K51" s="55"/>
      <c r="L51" s="55"/>
      <c r="M51" s="55"/>
      <c r="N51" s="55"/>
      <c r="O51" s="55"/>
    </row>
    <row r="52" spans="1:15" ht="20.25" x14ac:dyDescent="0.25">
      <c r="A52" s="75"/>
      <c r="B52" s="18"/>
      <c r="C52" s="27"/>
      <c r="D52" s="27"/>
    </row>
    <row r="53" spans="1:15" ht="20.25" x14ac:dyDescent="0.25">
      <c r="A53" s="75"/>
      <c r="B53" s="18"/>
      <c r="C53" s="27"/>
      <c r="D53" s="27"/>
    </row>
    <row r="54" spans="1:15" ht="20.25" x14ac:dyDescent="0.25">
      <c r="A54" s="75"/>
      <c r="B54" s="18"/>
      <c r="C54" s="27"/>
      <c r="D54" s="27"/>
    </row>
    <row r="55" spans="1:15" ht="20.25" x14ac:dyDescent="0.25">
      <c r="A55" s="75"/>
      <c r="B55" s="18"/>
      <c r="C55" s="27"/>
      <c r="D55" s="27"/>
    </row>
    <row r="56" spans="1:15" ht="20.25" x14ac:dyDescent="0.25">
      <c r="A56" s="75"/>
      <c r="B56" s="18"/>
      <c r="C56" s="27"/>
      <c r="D56" s="27"/>
    </row>
    <row r="57" spans="1:15" ht="20.25" x14ac:dyDescent="0.25">
      <c r="A57" s="75"/>
      <c r="B57" s="18"/>
      <c r="C57" s="27"/>
      <c r="D57" s="27"/>
    </row>
    <row r="58" spans="1:15" ht="20.25" x14ac:dyDescent="0.25">
      <c r="A58" s="75"/>
      <c r="B58" s="18"/>
      <c r="C58" s="27"/>
      <c r="D58" s="27"/>
    </row>
    <row r="59" spans="1:15" ht="20.25" x14ac:dyDescent="0.25">
      <c r="A59" s="75"/>
      <c r="B59" s="18"/>
      <c r="C59" s="27"/>
      <c r="D59" s="27"/>
    </row>
    <row r="60" spans="1:15" ht="20.25" x14ac:dyDescent="0.25">
      <c r="A60" s="75"/>
      <c r="B60" s="18"/>
      <c r="C60" s="27"/>
      <c r="D60" s="27"/>
    </row>
    <row r="61" spans="1:15" ht="20.25" x14ac:dyDescent="0.25">
      <c r="A61" s="75"/>
      <c r="B61" s="18"/>
      <c r="C61" s="27"/>
      <c r="D61" s="27"/>
    </row>
    <row r="62" spans="1:15" ht="20.25" x14ac:dyDescent="0.25">
      <c r="A62" s="75"/>
      <c r="B62" s="18"/>
      <c r="C62" s="27"/>
      <c r="D62" s="27"/>
    </row>
    <row r="63" spans="1:15" ht="20.25" x14ac:dyDescent="0.25">
      <c r="A63" s="75"/>
      <c r="B63" s="18"/>
      <c r="C63" s="27"/>
      <c r="D63" s="27"/>
    </row>
    <row r="64" spans="1:15" ht="20.25" x14ac:dyDescent="0.25">
      <c r="A64" s="75"/>
      <c r="B64" s="18"/>
      <c r="C64" s="27"/>
      <c r="D64" s="27"/>
    </row>
    <row r="65" spans="1:4" ht="20.25" x14ac:dyDescent="0.25">
      <c r="A65" s="75"/>
      <c r="B65" s="18"/>
      <c r="C65" s="27"/>
      <c r="D65" s="27"/>
    </row>
    <row r="66" spans="1:4" ht="20.25" x14ac:dyDescent="0.25">
      <c r="A66" s="75"/>
      <c r="B66" s="18"/>
      <c r="C66" s="27"/>
      <c r="D66" s="27"/>
    </row>
    <row r="67" spans="1:4" ht="20.25" x14ac:dyDescent="0.25">
      <c r="A67" s="75"/>
      <c r="B67" s="18"/>
      <c r="C67" s="27"/>
      <c r="D67" s="27"/>
    </row>
    <row r="68" spans="1:4" ht="20.25" x14ac:dyDescent="0.25">
      <c r="A68" s="75"/>
      <c r="B68" s="18"/>
      <c r="C68" s="27"/>
      <c r="D68" s="27"/>
    </row>
    <row r="69" spans="1:4" ht="20.25" x14ac:dyDescent="0.25">
      <c r="A69" s="75"/>
      <c r="B69" s="18"/>
      <c r="C69" s="27"/>
      <c r="D69" s="27"/>
    </row>
    <row r="70" spans="1:4" ht="20.25" x14ac:dyDescent="0.25">
      <c r="A70" s="75"/>
      <c r="B70" s="18"/>
      <c r="C70" s="27"/>
      <c r="D70" s="27"/>
    </row>
    <row r="71" spans="1:4" ht="20.25" x14ac:dyDescent="0.25">
      <c r="A71" s="75"/>
      <c r="B71" s="18"/>
      <c r="C71" s="27"/>
      <c r="D71" s="27"/>
    </row>
    <row r="72" spans="1:4" ht="20.25" x14ac:dyDescent="0.25">
      <c r="A72" s="75"/>
      <c r="B72" s="18"/>
      <c r="C72" s="27"/>
      <c r="D72" s="27"/>
    </row>
    <row r="73" spans="1:4" ht="20.25" x14ac:dyDescent="0.25">
      <c r="A73" s="75"/>
      <c r="B73" s="18"/>
      <c r="C73" s="27"/>
      <c r="D73" s="27"/>
    </row>
    <row r="74" spans="1:4" ht="20.25" x14ac:dyDescent="0.25">
      <c r="A74" s="75"/>
      <c r="B74" s="18"/>
      <c r="C74" s="27"/>
      <c r="D74" s="27"/>
    </row>
    <row r="75" spans="1:4" ht="20.25" x14ac:dyDescent="0.25">
      <c r="A75" s="75"/>
      <c r="B75" s="18"/>
      <c r="C75" s="27"/>
      <c r="D75" s="27"/>
    </row>
    <row r="76" spans="1:4" ht="20.25" x14ac:dyDescent="0.25">
      <c r="A76" s="75"/>
      <c r="B76" s="18"/>
      <c r="C76" s="27"/>
      <c r="D76" s="27"/>
    </row>
    <row r="77" spans="1:4" ht="20.25" x14ac:dyDescent="0.25">
      <c r="A77" s="75"/>
      <c r="B77" s="18"/>
      <c r="C77" s="27"/>
      <c r="D77" s="27"/>
    </row>
    <row r="78" spans="1:4" ht="20.25" x14ac:dyDescent="0.25">
      <c r="A78" s="75"/>
      <c r="B78" s="18"/>
      <c r="C78" s="27"/>
      <c r="D78" s="27"/>
    </row>
    <row r="79" spans="1:4" ht="20.25" x14ac:dyDescent="0.25">
      <c r="A79" s="75"/>
      <c r="B79" s="18"/>
      <c r="C79" s="27"/>
      <c r="D79" s="27"/>
    </row>
    <row r="80" spans="1:4" ht="20.25" x14ac:dyDescent="0.25">
      <c r="A80" s="75"/>
      <c r="B80" s="18"/>
      <c r="C80" s="27"/>
      <c r="D80" s="27"/>
    </row>
    <row r="81" spans="1:4" ht="20.25" x14ac:dyDescent="0.25">
      <c r="A81" s="75"/>
      <c r="B81" s="18"/>
      <c r="C81" s="27"/>
      <c r="D81" s="27"/>
    </row>
    <row r="82" spans="1:4" ht="20.25" x14ac:dyDescent="0.25">
      <c r="A82" s="75"/>
      <c r="B82" s="18"/>
      <c r="C82" s="27"/>
      <c r="D82" s="27"/>
    </row>
    <row r="83" spans="1:4" ht="20.25" x14ac:dyDescent="0.25">
      <c r="A83" s="75"/>
      <c r="B83" s="18"/>
      <c r="C83" s="27"/>
      <c r="D83" s="27"/>
    </row>
    <row r="84" spans="1:4" ht="20.25" x14ac:dyDescent="0.25">
      <c r="A84" s="75"/>
      <c r="B84" s="18"/>
      <c r="C84" s="27"/>
      <c r="D84" s="27"/>
    </row>
    <row r="85" spans="1:4" ht="20.25" x14ac:dyDescent="0.25">
      <c r="A85" s="75"/>
      <c r="B85" s="18"/>
      <c r="C85" s="27"/>
      <c r="D85" s="27"/>
    </row>
    <row r="86" spans="1:4" ht="20.25" x14ac:dyDescent="0.25">
      <c r="A86" s="75"/>
      <c r="B86" s="18"/>
      <c r="C86" s="27"/>
      <c r="D86" s="27"/>
    </row>
    <row r="87" spans="1:4" ht="20.25" x14ac:dyDescent="0.25">
      <c r="A87" s="75"/>
      <c r="B87" s="18"/>
      <c r="C87" s="27"/>
      <c r="D87" s="27"/>
    </row>
    <row r="88" spans="1:4" ht="20.25" x14ac:dyDescent="0.25">
      <c r="A88" s="75"/>
      <c r="B88" s="18"/>
      <c r="C88" s="27"/>
      <c r="D88" s="27"/>
    </row>
    <row r="89" spans="1:4" ht="20.25" x14ac:dyDescent="0.25">
      <c r="A89" s="75"/>
      <c r="B89" s="18"/>
      <c r="C89" s="27"/>
      <c r="D89" s="27"/>
    </row>
    <row r="90" spans="1:4" ht="20.25" x14ac:dyDescent="0.25">
      <c r="A90" s="75"/>
      <c r="B90" s="18"/>
      <c r="C90" s="27"/>
      <c r="D90" s="27"/>
    </row>
    <row r="91" spans="1:4" ht="20.25" x14ac:dyDescent="0.25">
      <c r="A91" s="75"/>
      <c r="B91" s="18"/>
      <c r="C91" s="27"/>
      <c r="D91" s="27"/>
    </row>
    <row r="92" spans="1:4" ht="20.25" x14ac:dyDescent="0.25">
      <c r="A92" s="75"/>
      <c r="B92" s="18"/>
      <c r="C92" s="27"/>
      <c r="D92" s="27"/>
    </row>
    <row r="93" spans="1:4" ht="20.25" x14ac:dyDescent="0.25">
      <c r="A93" s="75"/>
      <c r="B93" s="18"/>
      <c r="C93" s="27"/>
      <c r="D93" s="27"/>
    </row>
    <row r="94" spans="1:4" ht="20.25" x14ac:dyDescent="0.25">
      <c r="A94" s="75"/>
      <c r="B94" s="18"/>
      <c r="C94" s="27"/>
      <c r="D94" s="27"/>
    </row>
    <row r="95" spans="1:4" ht="20.25" x14ac:dyDescent="0.25">
      <c r="A95" s="75"/>
      <c r="B95" s="18"/>
      <c r="C95" s="27"/>
      <c r="D95" s="27"/>
    </row>
    <row r="96" spans="1:4" ht="20.25" x14ac:dyDescent="0.25">
      <c r="A96" s="75"/>
      <c r="B96" s="18"/>
      <c r="C96" s="27"/>
      <c r="D96" s="27"/>
    </row>
    <row r="97" spans="1:4" ht="20.25" x14ac:dyDescent="0.25">
      <c r="A97" s="75"/>
      <c r="B97" s="18"/>
      <c r="C97" s="27"/>
      <c r="D97" s="27"/>
    </row>
    <row r="98" spans="1:4" ht="20.25" x14ac:dyDescent="0.25">
      <c r="A98" s="75"/>
      <c r="B98" s="18"/>
      <c r="C98" s="27"/>
      <c r="D98" s="27"/>
    </row>
    <row r="99" spans="1:4" ht="20.25" x14ac:dyDescent="0.25">
      <c r="A99" s="75"/>
      <c r="B99" s="18"/>
      <c r="C99" s="27"/>
      <c r="D99" s="27"/>
    </row>
    <row r="100" spans="1:4" ht="20.25" x14ac:dyDescent="0.25">
      <c r="A100" s="75"/>
      <c r="B100" s="18"/>
      <c r="C100" s="27"/>
      <c r="D100" s="27"/>
    </row>
    <row r="101" spans="1:4" ht="20.25" x14ac:dyDescent="0.25">
      <c r="A101" s="75"/>
      <c r="B101" s="18"/>
      <c r="C101" s="27"/>
      <c r="D101" s="27"/>
    </row>
    <row r="102" spans="1:4" ht="20.25" x14ac:dyDescent="0.25">
      <c r="A102" s="75"/>
      <c r="B102" s="18"/>
      <c r="C102" s="27"/>
      <c r="D102" s="27"/>
    </row>
    <row r="103" spans="1:4" ht="20.25" x14ac:dyDescent="0.25">
      <c r="A103" s="75"/>
      <c r="B103" s="18"/>
      <c r="C103" s="27"/>
      <c r="D103" s="27"/>
    </row>
    <row r="104" spans="1:4" ht="20.25" x14ac:dyDescent="0.25">
      <c r="A104" s="75"/>
      <c r="B104" s="18"/>
      <c r="C104" s="27"/>
      <c r="D104" s="27"/>
    </row>
    <row r="105" spans="1:4" ht="20.25" x14ac:dyDescent="0.25">
      <c r="A105" s="75"/>
      <c r="B105" s="18"/>
      <c r="C105" s="27"/>
      <c r="D105" s="27"/>
    </row>
    <row r="106" spans="1:4" ht="20.25" x14ac:dyDescent="0.25">
      <c r="A106" s="75"/>
      <c r="B106" s="18"/>
      <c r="C106" s="27"/>
      <c r="D106" s="27"/>
    </row>
    <row r="107" spans="1:4" ht="20.25" x14ac:dyDescent="0.25">
      <c r="A107" s="75"/>
      <c r="B107" s="18"/>
      <c r="C107" s="27"/>
      <c r="D107" s="27"/>
    </row>
    <row r="108" spans="1:4" ht="20.25" x14ac:dyDescent="0.25">
      <c r="A108" s="75"/>
      <c r="B108" s="18"/>
      <c r="C108" s="27"/>
      <c r="D108" s="27"/>
    </row>
    <row r="109" spans="1:4" ht="20.25" x14ac:dyDescent="0.25">
      <c r="A109" s="75"/>
      <c r="B109" s="18"/>
      <c r="C109" s="27"/>
      <c r="D109" s="27"/>
    </row>
    <row r="110" spans="1:4" ht="20.25" x14ac:dyDescent="0.25">
      <c r="A110" s="75"/>
      <c r="B110" s="18"/>
      <c r="C110" s="27"/>
      <c r="D110" s="27"/>
    </row>
    <row r="111" spans="1:4" ht="20.25" x14ac:dyDescent="0.25">
      <c r="A111" s="75"/>
      <c r="B111" s="18"/>
      <c r="C111" s="27"/>
      <c r="D111" s="27"/>
    </row>
    <row r="112" spans="1:4" ht="20.25" x14ac:dyDescent="0.25">
      <c r="A112" s="75"/>
      <c r="B112" s="18"/>
      <c r="C112" s="27"/>
      <c r="D112" s="27"/>
    </row>
    <row r="113" spans="1:4" ht="20.25" x14ac:dyDescent="0.25">
      <c r="A113" s="75"/>
      <c r="B113" s="18"/>
      <c r="C113" s="27"/>
      <c r="D113" s="27"/>
    </row>
    <row r="114" spans="1:4" ht="20.25" x14ac:dyDescent="0.25">
      <c r="A114" s="75"/>
      <c r="B114" s="18"/>
      <c r="C114" s="27"/>
      <c r="D114" s="27"/>
    </row>
    <row r="115" spans="1:4" ht="20.25" x14ac:dyDescent="0.25">
      <c r="A115" s="75"/>
      <c r="B115" s="18"/>
      <c r="C115" s="27"/>
      <c r="D115" s="27"/>
    </row>
    <row r="116" spans="1:4" ht="20.25" x14ac:dyDescent="0.25">
      <c r="A116" s="75"/>
      <c r="B116" s="18"/>
      <c r="C116" s="27"/>
      <c r="D116" s="27"/>
    </row>
    <row r="117" spans="1:4" ht="20.25" x14ac:dyDescent="0.25">
      <c r="A117" s="75"/>
      <c r="B117" s="18"/>
      <c r="C117" s="27"/>
      <c r="D117" s="27"/>
    </row>
    <row r="118" spans="1:4" ht="20.25" x14ac:dyDescent="0.25">
      <c r="A118" s="75"/>
      <c r="B118" s="18"/>
      <c r="C118" s="27"/>
      <c r="D118" s="27"/>
    </row>
    <row r="119" spans="1:4" ht="20.25" x14ac:dyDescent="0.25">
      <c r="A119" s="75"/>
      <c r="B119" s="18"/>
      <c r="C119" s="27"/>
      <c r="D119" s="27"/>
    </row>
    <row r="120" spans="1:4" ht="20.25" x14ac:dyDescent="0.25">
      <c r="A120" s="75"/>
      <c r="B120" s="18"/>
      <c r="C120" s="27"/>
      <c r="D120" s="27"/>
    </row>
    <row r="121" spans="1:4" ht="20.25" x14ac:dyDescent="0.25">
      <c r="A121" s="75"/>
      <c r="B121" s="18"/>
      <c r="C121" s="27"/>
      <c r="D121" s="27"/>
    </row>
    <row r="122" spans="1:4" ht="20.25" x14ac:dyDescent="0.25">
      <c r="A122" s="75"/>
      <c r="B122" s="18"/>
      <c r="C122" s="27"/>
      <c r="D122" s="27"/>
    </row>
    <row r="123" spans="1:4" ht="20.25" x14ac:dyDescent="0.25">
      <c r="A123" s="75"/>
      <c r="B123" s="18"/>
      <c r="C123" s="27"/>
      <c r="D123" s="27"/>
    </row>
    <row r="124" spans="1:4" ht="20.25" x14ac:dyDescent="0.25">
      <c r="A124" s="75"/>
      <c r="B124" s="18"/>
      <c r="C124" s="27"/>
      <c r="D124" s="27"/>
    </row>
    <row r="125" spans="1:4" ht="20.25" x14ac:dyDescent="0.25">
      <c r="A125" s="75"/>
      <c r="B125" s="18"/>
      <c r="C125" s="27"/>
      <c r="D125" s="27"/>
    </row>
    <row r="126" spans="1:4" ht="20.25" x14ac:dyDescent="0.25">
      <c r="A126" s="75"/>
      <c r="B126" s="18"/>
      <c r="C126" s="27"/>
      <c r="D126" s="27"/>
    </row>
    <row r="127" spans="1:4" ht="20.25" x14ac:dyDescent="0.25">
      <c r="A127" s="75"/>
      <c r="B127" s="18"/>
      <c r="C127" s="27"/>
      <c r="D127" s="27"/>
    </row>
    <row r="128" spans="1:4" ht="20.25" x14ac:dyDescent="0.25">
      <c r="A128" s="75"/>
      <c r="B128" s="18"/>
      <c r="C128" s="27"/>
      <c r="D128" s="27"/>
    </row>
    <row r="129" spans="1:4" ht="20.25" x14ac:dyDescent="0.25">
      <c r="A129" s="75"/>
      <c r="B129" s="18"/>
      <c r="C129" s="27"/>
      <c r="D129" s="27"/>
    </row>
    <row r="130" spans="1:4" ht="20.25" x14ac:dyDescent="0.25">
      <c r="A130" s="75"/>
      <c r="B130" s="18"/>
      <c r="C130" s="27"/>
      <c r="D130" s="27"/>
    </row>
    <row r="131" spans="1:4" ht="20.25" x14ac:dyDescent="0.25">
      <c r="A131" s="75"/>
      <c r="B131" s="18"/>
      <c r="C131" s="27"/>
      <c r="D131" s="27"/>
    </row>
    <row r="132" spans="1:4" ht="20.25" x14ac:dyDescent="0.25">
      <c r="A132" s="75"/>
      <c r="B132" s="18"/>
      <c r="C132" s="27"/>
      <c r="D132" s="27"/>
    </row>
    <row r="133" spans="1:4" ht="20.25" x14ac:dyDescent="0.25">
      <c r="A133" s="75"/>
      <c r="B133" s="18"/>
      <c r="C133" s="27"/>
      <c r="D133" s="27"/>
    </row>
    <row r="134" spans="1:4" ht="20.25" x14ac:dyDescent="0.25">
      <c r="A134" s="75"/>
      <c r="B134" s="18"/>
      <c r="C134" s="27"/>
      <c r="D134" s="27"/>
    </row>
    <row r="135" spans="1:4" ht="20.25" x14ac:dyDescent="0.25">
      <c r="A135" s="75"/>
      <c r="B135" s="18"/>
      <c r="C135" s="27"/>
      <c r="D135" s="27"/>
    </row>
    <row r="136" spans="1:4" ht="20.25" x14ac:dyDescent="0.25">
      <c r="A136" s="75"/>
      <c r="B136" s="18"/>
      <c r="C136" s="27"/>
      <c r="D136" s="27"/>
    </row>
    <row r="137" spans="1:4" ht="20.25" x14ac:dyDescent="0.25">
      <c r="A137" s="75"/>
      <c r="B137" s="18"/>
      <c r="C137" s="27"/>
      <c r="D137" s="27"/>
    </row>
    <row r="138" spans="1:4" ht="20.25" x14ac:dyDescent="0.25">
      <c r="A138" s="75"/>
      <c r="B138" s="18"/>
      <c r="C138" s="27"/>
      <c r="D138" s="27"/>
    </row>
    <row r="139" spans="1:4" ht="20.25" x14ac:dyDescent="0.25">
      <c r="A139" s="75"/>
      <c r="B139" s="18"/>
      <c r="C139" s="27"/>
      <c r="D139" s="27"/>
    </row>
    <row r="140" spans="1:4" ht="20.25" x14ac:dyDescent="0.25">
      <c r="A140" s="75"/>
      <c r="B140" s="18"/>
      <c r="C140" s="27"/>
      <c r="D140" s="27"/>
    </row>
    <row r="141" spans="1:4" ht="20.25" x14ac:dyDescent="0.25">
      <c r="A141" s="75"/>
      <c r="B141" s="18"/>
      <c r="C141" s="27"/>
      <c r="D141" s="27"/>
    </row>
    <row r="142" spans="1:4" ht="20.25" x14ac:dyDescent="0.25">
      <c r="A142" s="75"/>
      <c r="B142" s="18"/>
      <c r="C142" s="27"/>
      <c r="D142" s="27"/>
    </row>
    <row r="143" spans="1:4" ht="20.25" x14ac:dyDescent="0.25">
      <c r="A143" s="75"/>
      <c r="B143" s="18"/>
      <c r="C143" s="27"/>
      <c r="D143" s="27"/>
    </row>
    <row r="144" spans="1:4" ht="20.25" x14ac:dyDescent="0.25">
      <c r="A144" s="75"/>
      <c r="B144" s="18"/>
      <c r="C144" s="27"/>
      <c r="D144" s="27"/>
    </row>
    <row r="145" spans="1:4" ht="20.25" x14ac:dyDescent="0.25">
      <c r="A145" s="75"/>
      <c r="B145" s="18"/>
      <c r="C145" s="27"/>
      <c r="D145" s="27"/>
    </row>
    <row r="146" spans="1:4" ht="20.25" x14ac:dyDescent="0.25">
      <c r="A146" s="75"/>
      <c r="B146" s="18"/>
      <c r="C146" s="27"/>
      <c r="D146" s="27"/>
    </row>
    <row r="147" spans="1:4" ht="20.25" x14ac:dyDescent="0.25">
      <c r="A147" s="75"/>
      <c r="B147" s="18"/>
      <c r="C147" s="27"/>
      <c r="D147" s="27"/>
    </row>
    <row r="148" spans="1:4" ht="20.25" x14ac:dyDescent="0.25">
      <c r="A148" s="75"/>
      <c r="B148" s="18"/>
      <c r="C148" s="27"/>
      <c r="D148" s="27"/>
    </row>
    <row r="149" spans="1:4" ht="20.25" x14ac:dyDescent="0.25">
      <c r="A149" s="75"/>
      <c r="B149" s="18"/>
      <c r="C149" s="27"/>
      <c r="D149" s="27"/>
    </row>
    <row r="150" spans="1:4" ht="20.25" x14ac:dyDescent="0.25">
      <c r="A150" s="75"/>
      <c r="B150" s="18"/>
      <c r="C150" s="27"/>
      <c r="D150" s="27"/>
    </row>
    <row r="151" spans="1:4" ht="20.25" x14ac:dyDescent="0.25">
      <c r="A151" s="75"/>
      <c r="B151" s="18"/>
      <c r="C151" s="27"/>
      <c r="D151" s="27"/>
    </row>
    <row r="152" spans="1:4" ht="20.25" x14ac:dyDescent="0.25">
      <c r="A152" s="75"/>
      <c r="B152" s="18"/>
      <c r="C152" s="27"/>
      <c r="D152" s="27"/>
    </row>
    <row r="153" spans="1:4" ht="20.25" x14ac:dyDescent="0.25">
      <c r="A153" s="75"/>
      <c r="B153" s="18"/>
      <c r="C153" s="27"/>
      <c r="D153" s="27"/>
    </row>
    <row r="154" spans="1:4" ht="20.25" x14ac:dyDescent="0.25">
      <c r="A154" s="75"/>
      <c r="B154" s="18"/>
      <c r="C154" s="27"/>
      <c r="D154" s="27"/>
    </row>
    <row r="155" spans="1:4" ht="20.25" x14ac:dyDescent="0.25">
      <c r="A155" s="75"/>
      <c r="B155" s="18"/>
      <c r="C155" s="27"/>
      <c r="D155" s="27"/>
    </row>
    <row r="156" spans="1:4" ht="20.25" x14ac:dyDescent="0.25">
      <c r="A156" s="75"/>
      <c r="B156" s="18"/>
      <c r="C156" s="27"/>
      <c r="D156" s="27"/>
    </row>
    <row r="157" spans="1:4" ht="20.25" x14ac:dyDescent="0.25">
      <c r="A157" s="75"/>
      <c r="B157" s="18"/>
      <c r="C157" s="27"/>
      <c r="D157" s="27"/>
    </row>
    <row r="158" spans="1:4" ht="20.25" x14ac:dyDescent="0.25">
      <c r="A158" s="75"/>
      <c r="B158" s="18"/>
      <c r="C158" s="27"/>
      <c r="D158" s="27"/>
    </row>
    <row r="159" spans="1:4" ht="20.25" x14ac:dyDescent="0.25">
      <c r="A159" s="75"/>
      <c r="B159" s="18"/>
      <c r="C159" s="27"/>
      <c r="D159" s="27"/>
    </row>
    <row r="160" spans="1:4" ht="20.25" x14ac:dyDescent="0.25">
      <c r="A160" s="75"/>
      <c r="B160" s="18"/>
      <c r="C160" s="27"/>
      <c r="D160" s="27"/>
    </row>
    <row r="161" spans="1:4" ht="20.25" x14ac:dyDescent="0.25">
      <c r="A161" s="75"/>
      <c r="B161" s="18"/>
      <c r="C161" s="27"/>
      <c r="D161" s="27"/>
    </row>
    <row r="162" spans="1:4" ht="20.25" x14ac:dyDescent="0.25">
      <c r="A162" s="75"/>
      <c r="B162" s="18"/>
      <c r="C162" s="27"/>
      <c r="D162" s="27"/>
    </row>
    <row r="163" spans="1:4" ht="20.25" x14ac:dyDescent="0.25">
      <c r="A163" s="75"/>
      <c r="B163" s="18"/>
      <c r="C163" s="27"/>
      <c r="D163" s="27"/>
    </row>
    <row r="164" spans="1:4" ht="20.25" x14ac:dyDescent="0.25">
      <c r="A164" s="75"/>
      <c r="B164" s="18"/>
      <c r="C164" s="27"/>
      <c r="D164" s="27"/>
    </row>
    <row r="165" spans="1:4" ht="20.25" x14ac:dyDescent="0.25">
      <c r="A165" s="75"/>
      <c r="B165" s="18"/>
      <c r="C165" s="27"/>
      <c r="D165" s="27"/>
    </row>
    <row r="166" spans="1:4" ht="20.25" x14ac:dyDescent="0.25">
      <c r="A166" s="75"/>
      <c r="B166" s="18"/>
      <c r="C166" s="27"/>
      <c r="D166" s="27"/>
    </row>
    <row r="167" spans="1:4" ht="20.25" x14ac:dyDescent="0.25">
      <c r="A167" s="75"/>
      <c r="B167" s="18"/>
      <c r="C167" s="27"/>
      <c r="D167" s="27"/>
    </row>
    <row r="168" spans="1:4" ht="20.25" x14ac:dyDescent="0.25">
      <c r="A168" s="75"/>
      <c r="B168" s="18"/>
      <c r="C168" s="27"/>
      <c r="D168" s="27"/>
    </row>
    <row r="169" spans="1:4" ht="20.25" x14ac:dyDescent="0.25">
      <c r="A169" s="75"/>
      <c r="B169" s="18"/>
      <c r="C169" s="27"/>
      <c r="D169" s="27"/>
    </row>
    <row r="170" spans="1:4" ht="20.25" x14ac:dyDescent="0.25">
      <c r="A170" s="75"/>
      <c r="B170" s="18"/>
      <c r="C170" s="27"/>
      <c r="D170" s="27"/>
    </row>
    <row r="171" spans="1:4" ht="20.25" x14ac:dyDescent="0.25">
      <c r="A171" s="75"/>
      <c r="B171" s="18"/>
      <c r="C171" s="27"/>
      <c r="D171" s="27"/>
    </row>
    <row r="172" spans="1:4" ht="20.25" x14ac:dyDescent="0.25">
      <c r="A172" s="75"/>
      <c r="B172" s="18"/>
      <c r="C172" s="27"/>
      <c r="D172" s="27"/>
    </row>
    <row r="173" spans="1:4" ht="20.25" x14ac:dyDescent="0.25">
      <c r="A173" s="75"/>
      <c r="B173" s="18"/>
      <c r="C173" s="27"/>
      <c r="D173" s="27"/>
    </row>
    <row r="174" spans="1:4" ht="20.25" x14ac:dyDescent="0.25">
      <c r="A174" s="75"/>
      <c r="B174" s="18"/>
      <c r="C174" s="27"/>
      <c r="D174" s="27"/>
    </row>
    <row r="175" spans="1:4" ht="20.25" x14ac:dyDescent="0.25">
      <c r="A175" s="75"/>
      <c r="B175" s="18"/>
      <c r="C175" s="27"/>
      <c r="D175" s="27"/>
    </row>
    <row r="176" spans="1:4" ht="20.25" x14ac:dyDescent="0.25">
      <c r="A176" s="75"/>
      <c r="B176" s="18"/>
      <c r="C176" s="27"/>
      <c r="D176" s="27"/>
    </row>
    <row r="177" spans="1:4" ht="20.25" x14ac:dyDescent="0.25">
      <c r="A177" s="75"/>
      <c r="B177" s="18"/>
      <c r="C177" s="27"/>
      <c r="D177" s="27"/>
    </row>
    <row r="178" spans="1:4" ht="20.25" x14ac:dyDescent="0.25">
      <c r="A178" s="75"/>
      <c r="B178" s="18"/>
      <c r="C178" s="27"/>
      <c r="D178" s="27"/>
    </row>
    <row r="179" spans="1:4" ht="20.25" x14ac:dyDescent="0.25">
      <c r="A179" s="75"/>
      <c r="B179" s="18"/>
      <c r="C179" s="27"/>
      <c r="D179" s="27"/>
    </row>
    <row r="180" spans="1:4" ht="20.25" x14ac:dyDescent="0.25">
      <c r="A180" s="75"/>
      <c r="B180" s="18"/>
      <c r="C180" s="27"/>
      <c r="D180" s="27"/>
    </row>
    <row r="181" spans="1:4" ht="20.25" x14ac:dyDescent="0.25">
      <c r="A181" s="75"/>
      <c r="B181" s="18"/>
      <c r="C181" s="27"/>
      <c r="D181" s="27"/>
    </row>
    <row r="182" spans="1:4" ht="20.25" x14ac:dyDescent="0.25">
      <c r="A182" s="75"/>
      <c r="B182" s="18"/>
      <c r="C182" s="27"/>
      <c r="D182" s="27"/>
    </row>
    <row r="183" spans="1:4" ht="20.25" x14ac:dyDescent="0.25">
      <c r="A183" s="75"/>
      <c r="B183" s="18"/>
      <c r="C183" s="27"/>
      <c r="D183" s="27"/>
    </row>
    <row r="184" spans="1:4" ht="20.25" x14ac:dyDescent="0.25">
      <c r="A184" s="75"/>
      <c r="B184" s="18"/>
      <c r="C184" s="27"/>
      <c r="D184" s="27"/>
    </row>
    <row r="185" spans="1:4" ht="20.25" x14ac:dyDescent="0.25">
      <c r="A185" s="75"/>
      <c r="B185" s="18"/>
      <c r="C185" s="27"/>
      <c r="D185" s="27"/>
    </row>
    <row r="186" spans="1:4" ht="20.25" x14ac:dyDescent="0.25">
      <c r="A186" s="75"/>
      <c r="B186" s="18"/>
      <c r="C186" s="27"/>
      <c r="D186" s="27"/>
    </row>
    <row r="187" spans="1:4" ht="20.25" x14ac:dyDescent="0.25">
      <c r="A187" s="75"/>
      <c r="B187" s="18"/>
      <c r="C187" s="27"/>
      <c r="D187" s="27"/>
    </row>
    <row r="188" spans="1:4" ht="20.25" x14ac:dyDescent="0.25">
      <c r="A188" s="75"/>
      <c r="B188" s="18"/>
      <c r="C188" s="27"/>
      <c r="D188" s="27"/>
    </row>
    <row r="189" spans="1:4" ht="20.25" x14ac:dyDescent="0.25">
      <c r="A189" s="75"/>
      <c r="B189" s="18"/>
      <c r="C189" s="27"/>
      <c r="D189" s="27"/>
    </row>
    <row r="190" spans="1:4" ht="20.25" x14ac:dyDescent="0.25">
      <c r="A190" s="75"/>
      <c r="B190" s="18"/>
      <c r="C190" s="27"/>
      <c r="D190" s="27"/>
    </row>
    <row r="191" spans="1:4" ht="20.25" x14ac:dyDescent="0.25">
      <c r="A191" s="75"/>
      <c r="B191" s="18"/>
      <c r="C191" s="27"/>
      <c r="D191" s="27"/>
    </row>
    <row r="192" spans="1:4" ht="20.25" x14ac:dyDescent="0.25">
      <c r="A192" s="75"/>
      <c r="B192" s="18"/>
      <c r="C192" s="27"/>
      <c r="D192" s="27"/>
    </row>
    <row r="193" spans="1:4" ht="20.25" x14ac:dyDescent="0.25">
      <c r="A193" s="75"/>
      <c r="B193" s="18"/>
      <c r="C193" s="27"/>
      <c r="D193" s="27"/>
    </row>
    <row r="194" spans="1:4" ht="20.25" x14ac:dyDescent="0.25">
      <c r="A194" s="75"/>
      <c r="B194" s="18"/>
      <c r="C194" s="27"/>
      <c r="D194" s="27"/>
    </row>
    <row r="195" spans="1:4" ht="20.25" x14ac:dyDescent="0.25">
      <c r="A195" s="75"/>
      <c r="B195" s="18"/>
      <c r="C195" s="27"/>
      <c r="D195" s="27"/>
    </row>
    <row r="196" spans="1:4" ht="20.25" x14ac:dyDescent="0.25">
      <c r="A196" s="75"/>
      <c r="B196" s="18"/>
      <c r="C196" s="27"/>
      <c r="D196" s="27"/>
    </row>
    <row r="197" spans="1:4" ht="20.25" x14ac:dyDescent="0.25">
      <c r="A197" s="75"/>
      <c r="B197" s="18"/>
      <c r="C197" s="27"/>
      <c r="D197" s="27"/>
    </row>
    <row r="198" spans="1:4" ht="20.25" x14ac:dyDescent="0.25">
      <c r="A198" s="75"/>
      <c r="B198" s="18"/>
      <c r="C198" s="27"/>
      <c r="D198" s="27"/>
    </row>
    <row r="199" spans="1:4" ht="20.25" x14ac:dyDescent="0.25">
      <c r="A199" s="75"/>
      <c r="B199" s="18"/>
      <c r="C199" s="27"/>
      <c r="D199" s="27"/>
    </row>
    <row r="200" spans="1:4" ht="20.25" x14ac:dyDescent="0.25">
      <c r="A200" s="75"/>
      <c r="B200" s="18"/>
      <c r="C200" s="27"/>
      <c r="D200" s="27"/>
    </row>
    <row r="201" spans="1:4" ht="20.25" x14ac:dyDescent="0.25">
      <c r="A201" s="75"/>
      <c r="B201" s="18"/>
      <c r="C201" s="27"/>
      <c r="D201" s="27"/>
    </row>
    <row r="202" spans="1:4" ht="20.25" x14ac:dyDescent="0.25">
      <c r="A202" s="75"/>
      <c r="B202" s="18"/>
      <c r="C202" s="27"/>
      <c r="D202" s="27"/>
    </row>
    <row r="203" spans="1:4" ht="20.25" x14ac:dyDescent="0.25">
      <c r="A203" s="75"/>
      <c r="B203" s="18"/>
      <c r="C203" s="27"/>
      <c r="D203" s="27"/>
    </row>
    <row r="204" spans="1:4" ht="20.25" x14ac:dyDescent="0.25">
      <c r="A204" s="75"/>
      <c r="B204" s="18"/>
      <c r="C204" s="27"/>
      <c r="D204" s="27"/>
    </row>
    <row r="205" spans="1:4" ht="20.25" x14ac:dyDescent="0.25">
      <c r="A205" s="75"/>
      <c r="B205" s="18"/>
      <c r="C205" s="27"/>
      <c r="D205" s="27"/>
    </row>
    <row r="206" spans="1:4" ht="20.25" x14ac:dyDescent="0.25">
      <c r="A206" s="75"/>
      <c r="B206" s="18"/>
      <c r="C206" s="27"/>
      <c r="D206" s="27"/>
    </row>
    <row r="207" spans="1:4" ht="20.25" x14ac:dyDescent="0.25">
      <c r="A207" s="75"/>
      <c r="B207" s="18"/>
      <c r="C207" s="27"/>
      <c r="D207" s="27"/>
    </row>
    <row r="208" spans="1:4" x14ac:dyDescent="0.25">
      <c r="A208" s="55"/>
      <c r="B208" s="18"/>
      <c r="C208" s="18"/>
      <c r="D208" s="18"/>
    </row>
    <row r="209" spans="1:8" ht="20.25" x14ac:dyDescent="0.25">
      <c r="A209" s="55"/>
      <c r="B209" s="23" t="s">
        <v>81</v>
      </c>
      <c r="C209" s="23" t="s">
        <v>129</v>
      </c>
      <c r="D209" s="26" t="s">
        <v>81</v>
      </c>
      <c r="E209" s="26" t="s">
        <v>129</v>
      </c>
    </row>
    <row r="210" spans="1:8" ht="21" x14ac:dyDescent="0.35">
      <c r="A210" s="55"/>
      <c r="B210" s="24" t="s">
        <v>83</v>
      </c>
      <c r="C210" s="24" t="s">
        <v>52</v>
      </c>
      <c r="D210" t="s">
        <v>83</v>
      </c>
      <c r="F210" t="str">
        <f t="shared" ref="F210:F221" si="0">IF(NOT(ISBLANK(D210)),D210,IF(NOT(ISBLANK(E210))," "&amp;E210,FALSE))</f>
        <v>Afectación Económica o presupuestal</v>
      </c>
      <c r="G210" t="s">
        <v>83</v>
      </c>
      <c r="H210" t="str">
        <f>IF(NOT(ISERROR(MATCH(G210,_xlfn.ANCHORARRAY(B221),0))),F223&amp;"Por favor no seleccionar los criterios de impacto",G210)</f>
        <v>❌Por favor no seleccionar los criterios de impacto</v>
      </c>
    </row>
    <row r="211" spans="1:8" ht="21" x14ac:dyDescent="0.35">
      <c r="A211" s="55"/>
      <c r="B211" s="24" t="s">
        <v>83</v>
      </c>
      <c r="C211" s="24" t="s">
        <v>86</v>
      </c>
      <c r="E211" t="s">
        <v>52</v>
      </c>
      <c r="F211" t="str">
        <f t="shared" si="0"/>
        <v xml:space="preserve"> Afectación menor a 10 SMLMV .</v>
      </c>
    </row>
    <row r="212" spans="1:8" ht="21" x14ac:dyDescent="0.35">
      <c r="A212" s="55"/>
      <c r="B212" s="24" t="s">
        <v>83</v>
      </c>
      <c r="C212" s="24" t="s">
        <v>87</v>
      </c>
      <c r="E212" t="s">
        <v>86</v>
      </c>
      <c r="F212" t="str">
        <f t="shared" si="0"/>
        <v xml:space="preserve"> Entre 10 y 50 SMLMV </v>
      </c>
    </row>
    <row r="213" spans="1:8" ht="21" x14ac:dyDescent="0.35">
      <c r="A213" s="55"/>
      <c r="B213" s="24" t="s">
        <v>83</v>
      </c>
      <c r="C213" s="24" t="s">
        <v>88</v>
      </c>
      <c r="E213" t="s">
        <v>87</v>
      </c>
      <c r="F213" t="str">
        <f t="shared" si="0"/>
        <v xml:space="preserve"> Entre 50 y 100 SMLMV </v>
      </c>
    </row>
    <row r="214" spans="1:8" ht="21" x14ac:dyDescent="0.35">
      <c r="A214" s="55"/>
      <c r="B214" s="24" t="s">
        <v>83</v>
      </c>
      <c r="C214" s="24" t="s">
        <v>89</v>
      </c>
      <c r="E214" t="s">
        <v>88</v>
      </c>
      <c r="F214" t="str">
        <f t="shared" si="0"/>
        <v xml:space="preserve"> Entre 100 y 500 SMLMV </v>
      </c>
    </row>
    <row r="215" spans="1:8" ht="21" x14ac:dyDescent="0.35">
      <c r="A215" s="55"/>
      <c r="B215" s="24" t="s">
        <v>51</v>
      </c>
      <c r="C215" s="24" t="s">
        <v>90</v>
      </c>
      <c r="E215" t="s">
        <v>89</v>
      </c>
      <c r="F215" t="str">
        <f t="shared" si="0"/>
        <v xml:space="preserve"> Mayor a 500 SMLMV </v>
      </c>
    </row>
    <row r="216" spans="1:8" ht="21" x14ac:dyDescent="0.35">
      <c r="A216" s="55"/>
      <c r="B216" s="24" t="s">
        <v>51</v>
      </c>
      <c r="C216" s="24" t="s">
        <v>490</v>
      </c>
      <c r="D216" t="s">
        <v>51</v>
      </c>
      <c r="F216" t="str">
        <f t="shared" si="0"/>
        <v>Pérdida Reputacional</v>
      </c>
    </row>
    <row r="217" spans="1:8" ht="21" x14ac:dyDescent="0.35">
      <c r="A217" s="55"/>
      <c r="B217" s="24" t="s">
        <v>51</v>
      </c>
      <c r="C217" s="24" t="s">
        <v>91</v>
      </c>
      <c r="E217" t="s">
        <v>90</v>
      </c>
      <c r="F217" t="str">
        <f t="shared" si="0"/>
        <v xml:space="preserve"> El riesgo afecta la imagen de alguna área de la organización</v>
      </c>
    </row>
    <row r="218" spans="1:8" ht="21" x14ac:dyDescent="0.35">
      <c r="A218" s="55"/>
      <c r="B218" s="24" t="s">
        <v>51</v>
      </c>
      <c r="C218" s="24" t="s">
        <v>492</v>
      </c>
      <c r="E218" t="s">
        <v>490</v>
      </c>
      <c r="F218" t="str">
        <f t="shared" si="0"/>
        <v xml:space="preserve"> El riesgo afecta la imagen de la entidad internamente, de conocimiento general, nivel interno, de junta directiva y accionistas y/o de proveedores</v>
      </c>
    </row>
    <row r="219" spans="1:8" ht="21" x14ac:dyDescent="0.35">
      <c r="A219" s="55"/>
      <c r="B219" s="24" t="s">
        <v>51</v>
      </c>
      <c r="C219" s="24" t="s">
        <v>109</v>
      </c>
      <c r="E219" t="s">
        <v>91</v>
      </c>
      <c r="F219" t="str">
        <f t="shared" si="0"/>
        <v xml:space="preserve"> El riesgo afecta la imagen de la entidad con algunos usuarios de relevancia frente al logro de los objetivos</v>
      </c>
    </row>
    <row r="220" spans="1:8" x14ac:dyDescent="0.25">
      <c r="A220" s="55"/>
      <c r="B220" s="25"/>
      <c r="C220" s="25"/>
      <c r="E220" t="s">
        <v>492</v>
      </c>
      <c r="F220" t="str">
        <f t="shared" si="0"/>
        <v xml:space="preserve"> El riesgo afecta la imagen de la entidad con efecto publicitario sostenido a nivel de sector administrativo, nivel departamental o municipal</v>
      </c>
    </row>
    <row r="221" spans="1:8" x14ac:dyDescent="0.25">
      <c r="A221" s="55"/>
      <c r="B221" s="25" t="str" cm="1">
        <f t="array" ref="B221:B223">_xlfn.UNIQUE(Tabla1[[#All],[Criterios]])</f>
        <v>Criterios</v>
      </c>
      <c r="C221" s="25"/>
      <c r="E221" t="s">
        <v>109</v>
      </c>
      <c r="F221" t="str">
        <f t="shared" si="0"/>
        <v xml:space="preserve"> El riesgo afecta la imagen de la entidad a nivel nacional, con efecto publicitarios sostenible a nivel país</v>
      </c>
    </row>
    <row r="222" spans="1:8" x14ac:dyDescent="0.25">
      <c r="A222" s="55"/>
      <c r="B222" s="25" t="str">
        <v>Afectación Económica o presupuestal</v>
      </c>
      <c r="C222" s="25"/>
    </row>
    <row r="223" spans="1:8" x14ac:dyDescent="0.25">
      <c r="B223" s="25" t="str">
        <v>Pérdida Reputacional</v>
      </c>
      <c r="C223" s="25"/>
      <c r="F223" s="28" t="s">
        <v>130</v>
      </c>
    </row>
    <row r="224" spans="1:8" x14ac:dyDescent="0.25">
      <c r="B224" s="17"/>
      <c r="C224" s="17"/>
      <c r="F224" s="28" t="s">
        <v>131</v>
      </c>
    </row>
    <row r="225" spans="2:4" x14ac:dyDescent="0.25">
      <c r="B225" s="17"/>
      <c r="C225" s="17"/>
    </row>
    <row r="226" spans="2:4" x14ac:dyDescent="0.25">
      <c r="B226" s="17"/>
      <c r="C226" s="17"/>
    </row>
    <row r="227" spans="2:4" x14ac:dyDescent="0.25">
      <c r="B227" s="17"/>
      <c r="C227" s="17"/>
      <c r="D227" s="17"/>
    </row>
    <row r="228" spans="2:4" x14ac:dyDescent="0.25">
      <c r="B228" s="17"/>
      <c r="C228" s="17"/>
      <c r="D228" s="17"/>
    </row>
    <row r="229" spans="2:4" x14ac:dyDescent="0.25">
      <c r="B229" s="17"/>
      <c r="C229" s="17"/>
      <c r="D229" s="17"/>
    </row>
    <row r="230" spans="2:4" x14ac:dyDescent="0.25">
      <c r="B230" s="17"/>
      <c r="C230" s="17"/>
      <c r="D230" s="17"/>
    </row>
    <row r="231" spans="2:4" x14ac:dyDescent="0.25">
      <c r="B231" s="17"/>
      <c r="C231" s="17"/>
      <c r="D231" s="17"/>
    </row>
    <row r="232" spans="2:4" x14ac:dyDescent="0.25">
      <c r="B232" s="17"/>
      <c r="C232" s="17"/>
      <c r="D232" s="17"/>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topLeftCell="A4" workbookViewId="0">
      <selection activeCell="C7" sqref="C7:C8"/>
    </sheetView>
  </sheetViews>
  <sheetFormatPr baseColWidth="10" defaultColWidth="14.28515625" defaultRowHeight="12.75" x14ac:dyDescent="0.2"/>
  <cols>
    <col min="1" max="2" width="14.28515625" style="60"/>
    <col min="3" max="3" width="17" style="60" customWidth="1"/>
    <col min="4" max="4" width="14.28515625" style="60"/>
    <col min="5" max="5" width="46" style="60" customWidth="1"/>
    <col min="6" max="16384" width="14.28515625" style="60"/>
  </cols>
  <sheetData>
    <row r="1" spans="2:6" ht="24" customHeight="1" thickBot="1" x14ac:dyDescent="0.25">
      <c r="B1" s="551" t="s">
        <v>72</v>
      </c>
      <c r="C1" s="552"/>
      <c r="D1" s="552"/>
      <c r="E1" s="552"/>
      <c r="F1" s="553"/>
    </row>
    <row r="2" spans="2:6" ht="16.5" thickBot="1" x14ac:dyDescent="0.3">
      <c r="B2" s="61"/>
      <c r="C2" s="61"/>
      <c r="D2" s="61"/>
      <c r="E2" s="61"/>
      <c r="F2" s="61"/>
    </row>
    <row r="3" spans="2:6" ht="16.5" thickBot="1" x14ac:dyDescent="0.25">
      <c r="B3" s="555" t="s">
        <v>58</v>
      </c>
      <c r="C3" s="556"/>
      <c r="D3" s="556"/>
      <c r="E3" s="73" t="s">
        <v>59</v>
      </c>
      <c r="F3" s="74" t="s">
        <v>60</v>
      </c>
    </row>
    <row r="4" spans="2:6" ht="31.5" x14ac:dyDescent="0.2">
      <c r="B4" s="557" t="s">
        <v>61</v>
      </c>
      <c r="C4" s="559" t="s">
        <v>13</v>
      </c>
      <c r="D4" s="62" t="s">
        <v>14</v>
      </c>
      <c r="E4" s="63" t="s">
        <v>62</v>
      </c>
      <c r="F4" s="64">
        <v>0.25</v>
      </c>
    </row>
    <row r="5" spans="2:6" ht="47.25" x14ac:dyDescent="0.2">
      <c r="B5" s="558"/>
      <c r="C5" s="560"/>
      <c r="D5" s="65" t="s">
        <v>15</v>
      </c>
      <c r="E5" s="66" t="s">
        <v>63</v>
      </c>
      <c r="F5" s="67">
        <v>0.15</v>
      </c>
    </row>
    <row r="6" spans="2:6" ht="47.25" x14ac:dyDescent="0.2">
      <c r="B6" s="558"/>
      <c r="C6" s="560"/>
      <c r="D6" s="65" t="s">
        <v>16</v>
      </c>
      <c r="E6" s="66" t="s">
        <v>64</v>
      </c>
      <c r="F6" s="67">
        <v>0.1</v>
      </c>
    </row>
    <row r="7" spans="2:6" ht="63" x14ac:dyDescent="0.2">
      <c r="B7" s="558"/>
      <c r="C7" s="560" t="s">
        <v>17</v>
      </c>
      <c r="D7" s="65" t="s">
        <v>10</v>
      </c>
      <c r="E7" s="66" t="s">
        <v>65</v>
      </c>
      <c r="F7" s="67">
        <v>0.25</v>
      </c>
    </row>
    <row r="8" spans="2:6" ht="31.5" x14ac:dyDescent="0.2">
      <c r="B8" s="558"/>
      <c r="C8" s="560"/>
      <c r="D8" s="65" t="s">
        <v>9</v>
      </c>
      <c r="E8" s="66" t="s">
        <v>66</v>
      </c>
      <c r="F8" s="67">
        <v>0.15</v>
      </c>
    </row>
    <row r="9" spans="2:6" ht="47.25" x14ac:dyDescent="0.2">
      <c r="B9" s="558" t="s">
        <v>136</v>
      </c>
      <c r="C9" s="560" t="s">
        <v>18</v>
      </c>
      <c r="D9" s="65" t="s">
        <v>19</v>
      </c>
      <c r="E9" s="66" t="s">
        <v>67</v>
      </c>
      <c r="F9" s="68" t="s">
        <v>68</v>
      </c>
    </row>
    <row r="10" spans="2:6" ht="63" x14ac:dyDescent="0.2">
      <c r="B10" s="558"/>
      <c r="C10" s="560"/>
      <c r="D10" s="65" t="s">
        <v>20</v>
      </c>
      <c r="E10" s="66" t="s">
        <v>69</v>
      </c>
      <c r="F10" s="68" t="s">
        <v>68</v>
      </c>
    </row>
    <row r="11" spans="2:6" ht="47.25" x14ac:dyDescent="0.2">
      <c r="B11" s="558"/>
      <c r="C11" s="560" t="s">
        <v>21</v>
      </c>
      <c r="D11" s="65" t="s">
        <v>22</v>
      </c>
      <c r="E11" s="66" t="s">
        <v>70</v>
      </c>
      <c r="F11" s="68" t="s">
        <v>68</v>
      </c>
    </row>
    <row r="12" spans="2:6" ht="47.25" x14ac:dyDescent="0.2">
      <c r="B12" s="558"/>
      <c r="C12" s="560"/>
      <c r="D12" s="65" t="s">
        <v>23</v>
      </c>
      <c r="E12" s="66" t="s">
        <v>71</v>
      </c>
      <c r="F12" s="68" t="s">
        <v>68</v>
      </c>
    </row>
    <row r="13" spans="2:6" ht="31.5" x14ac:dyDescent="0.2">
      <c r="B13" s="558"/>
      <c r="C13" s="560" t="s">
        <v>24</v>
      </c>
      <c r="D13" s="65" t="s">
        <v>110</v>
      </c>
      <c r="E13" s="66" t="s">
        <v>113</v>
      </c>
      <c r="F13" s="68" t="s">
        <v>68</v>
      </c>
    </row>
    <row r="14" spans="2:6" ht="32.25" thickBot="1" x14ac:dyDescent="0.25">
      <c r="B14" s="561"/>
      <c r="C14" s="562"/>
      <c r="D14" s="69" t="s">
        <v>111</v>
      </c>
      <c r="E14" s="70" t="s">
        <v>112</v>
      </c>
      <c r="F14" s="71" t="s">
        <v>68</v>
      </c>
    </row>
    <row r="15" spans="2:6" ht="49.5" customHeight="1" x14ac:dyDescent="0.2">
      <c r="B15" s="554" t="s">
        <v>133</v>
      </c>
      <c r="C15" s="554"/>
      <c r="D15" s="554"/>
      <c r="E15" s="554"/>
      <c r="F15" s="554"/>
    </row>
    <row r="16" spans="2:6" ht="27" customHeight="1" x14ac:dyDescent="0.25">
      <c r="B16" s="72"/>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494</v>
      </c>
    </row>
    <row r="9" spans="2:5" x14ac:dyDescent="0.25">
      <c r="B9" t="s">
        <v>36</v>
      </c>
    </row>
    <row r="10" spans="2:5" x14ac:dyDescent="0.25">
      <c r="B10" t="s">
        <v>37</v>
      </c>
    </row>
    <row r="13" spans="2:5" x14ac:dyDescent="0.25">
      <c r="B13" t="s">
        <v>330</v>
      </c>
    </row>
    <row r="14" spans="2:5" x14ac:dyDescent="0.25">
      <c r="B14" t="s">
        <v>328</v>
      </c>
    </row>
    <row r="15" spans="2:5" x14ac:dyDescent="0.25">
      <c r="B15" t="s">
        <v>336</v>
      </c>
    </row>
    <row r="16" spans="2:5" x14ac:dyDescent="0.25">
      <c r="B16" t="s">
        <v>114</v>
      </c>
    </row>
    <row r="17" spans="2:2" x14ac:dyDescent="0.25">
      <c r="B17" t="s">
        <v>115</v>
      </c>
    </row>
    <row r="18" spans="2:2" x14ac:dyDescent="0.25">
      <c r="B18" t="s">
        <v>116</v>
      </c>
    </row>
    <row r="19" spans="2:2" x14ac:dyDescent="0.25">
      <c r="B19" t="s">
        <v>117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4" sqref="A4"/>
    </sheetView>
  </sheetViews>
  <sheetFormatPr baseColWidth="10" defaultColWidth="11.42578125" defaultRowHeight="12.75" x14ac:dyDescent="0.2"/>
  <cols>
    <col min="1" max="1" width="32.85546875" style="4" customWidth="1"/>
    <col min="2" max="16384" width="11.42578125" style="4"/>
  </cols>
  <sheetData>
    <row r="3" spans="1:1" x14ac:dyDescent="0.2">
      <c r="A3" s="5" t="s">
        <v>14</v>
      </c>
    </row>
    <row r="4" spans="1:1" x14ac:dyDescent="0.2">
      <c r="A4" s="5" t="s">
        <v>15</v>
      </c>
    </row>
    <row r="5" spans="1:1" x14ac:dyDescent="0.2">
      <c r="A5" s="5" t="s">
        <v>16</v>
      </c>
    </row>
    <row r="6" spans="1:1" x14ac:dyDescent="0.2">
      <c r="A6" s="5" t="s">
        <v>10</v>
      </c>
    </row>
    <row r="7" spans="1:1" x14ac:dyDescent="0.2">
      <c r="A7" s="5" t="s">
        <v>9</v>
      </c>
    </row>
    <row r="8" spans="1:1" x14ac:dyDescent="0.2">
      <c r="A8" s="5" t="s">
        <v>19</v>
      </c>
    </row>
    <row r="9" spans="1:1" x14ac:dyDescent="0.2">
      <c r="A9" s="5" t="s">
        <v>20</v>
      </c>
    </row>
    <row r="10" spans="1:1" x14ac:dyDescent="0.2">
      <c r="A10" s="5" t="s">
        <v>22</v>
      </c>
    </row>
    <row r="11" spans="1:1" x14ac:dyDescent="0.2">
      <c r="A11" s="5" t="s">
        <v>23</v>
      </c>
    </row>
    <row r="12" spans="1:1" x14ac:dyDescent="0.2">
      <c r="A12" s="5" t="s">
        <v>25</v>
      </c>
    </row>
    <row r="13" spans="1:1" x14ac:dyDescent="0.2">
      <c r="A13" s="5" t="s">
        <v>26</v>
      </c>
    </row>
    <row r="14" spans="1:1" x14ac:dyDescent="0.2">
      <c r="A14" s="5" t="s">
        <v>27</v>
      </c>
    </row>
    <row r="16" spans="1:1" x14ac:dyDescent="0.2">
      <c r="A16" s="5" t="s">
        <v>30</v>
      </c>
    </row>
    <row r="17" spans="1:1" x14ac:dyDescent="0.2">
      <c r="A17" s="5" t="s">
        <v>31</v>
      </c>
    </row>
    <row r="18" spans="1:1" x14ac:dyDescent="0.2">
      <c r="A18" s="5" t="s">
        <v>32</v>
      </c>
    </row>
    <row r="20" spans="1:1" x14ac:dyDescent="0.2">
      <c r="A20" s="5" t="s">
        <v>36</v>
      </c>
    </row>
    <row r="21" spans="1:1" x14ac:dyDescent="0.2">
      <c r="A21" s="5"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Jose Ramon Sasntis Jimenez</cp:lastModifiedBy>
  <cp:lastPrinted>2021-10-13T03:54:14Z</cp:lastPrinted>
  <dcterms:created xsi:type="dcterms:W3CDTF">2020-03-24T23:12:47Z</dcterms:created>
  <dcterms:modified xsi:type="dcterms:W3CDTF">2023-02-28T20:53:55Z</dcterms:modified>
</cp:coreProperties>
</file>